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browts1\OneDrive - Sasol\GROUP IR\2021\2.0 New Operating Model\Market release docs\"/>
    </mc:Choice>
  </mc:AlternateContent>
  <xr:revisionPtr revIDLastSave="3" documentId="11_0C881C80BFFF07DD98D498E2687103784E2CDE23" xr6:coauthVersionLast="45" xr6:coauthVersionMax="45" xr10:uidLastSave="{8F3A28ED-DBE5-4915-BCC7-CA00A485294C}"/>
  <bookViews>
    <workbookView xWindow="-108" yWindow="-108" windowWidth="23256" windowHeight="12576" activeTab="6" xr2:uid="{00000000-000D-0000-FFFF-FFFF00000000}"/>
  </bookViews>
  <sheets>
    <sheet name="Disclaimer" sheetId="34" r:id="rId1"/>
    <sheet name="Legend" sheetId="39" r:id="rId2"/>
    <sheet name="Assumptions" sheetId="6" r:id="rId3"/>
    <sheet name="Depr" sheetId="26" r:id="rId4"/>
    <sheet name="Financials" sheetId="13" r:id="rId5"/>
    <sheet name="Mining" sheetId="4" r:id="rId6"/>
    <sheet name="Gas" sheetId="7" r:id="rId7"/>
    <sheet name="Fuels" sheetId="8" r:id="rId8"/>
    <sheet name="Chem" sheetId="36" r:id="rId9"/>
    <sheet name="Chemicals Africa" sheetId="35" r:id="rId10"/>
    <sheet name="Chemicals America" sheetId="38" r:id="rId11"/>
    <sheet name="Chemicals Eurasia" sheetId="37" r:id="rId12"/>
    <sheet name="Corp" sheetId="12" r:id="rId13"/>
    <sheet name="Interco" sheetId="15" r:id="rId14"/>
  </sheets>
  <externalReferences>
    <externalReference r:id="rId15"/>
    <externalReference r:id="rId16"/>
    <externalReference r:id="rId17"/>
  </externalReferences>
  <definedNames>
    <definedName name="__FDS_HYPERLINK_TOGGLE_STATE__" hidden="1">"ON"</definedName>
    <definedName name="_1__123Graph_AADV_GDP" hidden="1">[1]ADVOL!$C$97:$C$128</definedName>
    <definedName name="_10__123Graph_BADV_GDPR" hidden="1">[1]ADVOL!$A$97:$A$132</definedName>
    <definedName name="_11__123Graph_BADV_PCE" hidden="1">[1]ADVOL!$G$170:$G$202</definedName>
    <definedName name="_12__123Graph_BADV_PCGD" hidden="1">[1]ADVOL!$E$170:$E$202</definedName>
    <definedName name="_13__123Graph_BMAG_PCE" hidden="1">[1]ADVOL!$A$171:$A$204</definedName>
    <definedName name="_14__123Graph_BNRET_PCE" hidden="1">[1]ADVOL!$A$171:$A$206</definedName>
    <definedName name="_15__123Graph_BNRT_PCE" hidden="1">[1]ADVOL!$A$171:$A$206</definedName>
    <definedName name="_16__123Graph_CADV_PCE" hidden="1">[1]ADVOL!$H$170:$H$202</definedName>
    <definedName name="_17__123Graph_XADV_GDP" hidden="1">[1]ADVOL!$A$23:$A$54</definedName>
    <definedName name="_18__123Graph_XADV_GDPR" hidden="1">[1]ADVOL!$A$23:$A$58</definedName>
    <definedName name="_19__123Graph_XADV_PCE" hidden="1">[1]ADVOL!$A$22:$A$54</definedName>
    <definedName name="_2__123Graph_AADV_GDPR" hidden="1">[1]ADVOL!$C$97:$C$131</definedName>
    <definedName name="_20__123Graph_XADV_PCGD" hidden="1">[1]ADVOL!$A$22:$A$54</definedName>
    <definedName name="_21__123Graph_XMAG_PCE" hidden="1">[1]ADVOL!$A$23:$A$56</definedName>
    <definedName name="_22__123Graph_XNRET_PCE" hidden="1">[1]ADVOL!$A$23:$A$58</definedName>
    <definedName name="_23__123Graph_XNRET_RS" hidden="1">[1]ADVOL!$A$30:$A$58</definedName>
    <definedName name="_24__123Graph_XNRT_PCE" hidden="1">[1]ADVOL!$A$23:$A$58</definedName>
    <definedName name="_3__123Graph_AADV_PCE" hidden="1">[1]ADVOL!$F$170:$F$202</definedName>
    <definedName name="_4__123Graph_AADV_PCGD" hidden="1">[1]ADVOL!$F$170:$F$202</definedName>
    <definedName name="_5__123Graph_AMAG_PCE" hidden="1">[1]ADVOL!$S$23:$S$54</definedName>
    <definedName name="_6__123Graph_ANRET_PCE" hidden="1">[1]ADVOL!$AD$23:$AD$57</definedName>
    <definedName name="_7__123Graph_ANRET_RS" hidden="1">[1]ADVOL!$AG$30:$AG$56</definedName>
    <definedName name="_8__123Graph_ANRT_PCE" hidden="1">[1]ADVOL!$AD$97:$AD$131</definedName>
    <definedName name="_9__123Graph_BADV_GDP" hidden="1">[1]ADVOL!$F$97:$F$128</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3" hidden="1">#REF!</definedName>
    <definedName name="_Fill" hidden="1">#REF!</definedName>
    <definedName name="_fill1" localSheetId="8" hidden="1">#REF!</definedName>
    <definedName name="_fill1" localSheetId="9" hidden="1">#REF!</definedName>
    <definedName name="_fill1" localSheetId="10" hidden="1">#REF!</definedName>
    <definedName name="_fill1" localSheetId="11" hidden="1">#REF!</definedName>
    <definedName name="_fill1" localSheetId="3" hidden="1">#REF!</definedName>
    <definedName name="_fill1" hidden="1">#REF!</definedName>
    <definedName name="_xlnm._FilterDatabase" localSheetId="8" hidden="1">#REF!</definedName>
    <definedName name="_xlnm._FilterDatabase" localSheetId="9" hidden="1">#REF!</definedName>
    <definedName name="_xlnm._FilterDatabase" localSheetId="10" hidden="1">#REF!</definedName>
    <definedName name="_xlnm._FilterDatabase" localSheetId="11" hidden="1">#REF!</definedName>
    <definedName name="_xlnm._FilterDatabase" localSheetId="3" hidden="1">#REF!</definedName>
    <definedName name="_xlnm._FilterDatabase"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3" hidden="1">#REF!</definedName>
    <definedName name="_Key1" hidden="1">#REF!</definedName>
    <definedName name="_Order1" hidden="1">255</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3" hidden="1">#REF!</definedName>
    <definedName name="_Sort" hidden="1">#REF!</definedName>
    <definedName name="a" hidden="1">{#N/A,#N/A,FALSE,"K_DRIV"}</definedName>
    <definedName name="aa" hidden="1">{#N/A,#N/A,FALSE,"K_DRIV"}</definedName>
    <definedName name="aaa" hidden="1">{#N/A,#N/A,FALSE,"K_DRIV"}</definedName>
    <definedName name="aaaa" hidden="1">{#N/A,#N/A,FALSE,"ASSUM"}</definedName>
    <definedName name="aaaaaa" hidden="1">{#N/A,#N/A,FALSE,"ASSUM"}</definedName>
    <definedName name="aaaaaaaaaa" hidden="1">{#N/A,#N/A,FALSE,"EVA_RC"}</definedName>
    <definedName name="aaaaaaaaaaa" hidden="1">{#N/A,#N/A,FALSE,"EVA_RC"}</definedName>
    <definedName name="aaaaaaaaaaaaa" hidden="1">{#N/A,#N/A,FALSE,"EVA_SC"}</definedName>
    <definedName name="Actual_capital___fixed_costs_recovery_fee">'[2]Steering Wheel'!$O$36</definedName>
    <definedName name="anscount" hidden="1">1</definedName>
    <definedName name="Apply_ETO_latest_prices">'[2]Steering Wheel'!$F$31</definedName>
    <definedName name="Apply_ETO_sales_plan">'[2]Steering Wheel'!$F$36</definedName>
    <definedName name="Apply_Guerbet_latest_prices">'[2]Steering Wheel'!$F$32</definedName>
    <definedName name="Apply_Guerbet_sales_plan">'[2]Steering Wheel'!$F$37</definedName>
    <definedName name="Apply_the_ethane_price">'[2]Steering Wheel'!$F$25</definedName>
    <definedName name="Apply_the_ethylene_price">'[2]Steering Wheel'!$F$26</definedName>
    <definedName name="Apply_the_full_mass_balance_chapter">'[2]Steering Wheel'!$F$40</definedName>
    <definedName name="Apply_the_MEG_price">'[2]Steering Wheel'!$F$28</definedName>
    <definedName name="Apply_the_polymer_prices">'[2]Steering Wheel'!$F$27</definedName>
    <definedName name="Apply_the_rest_of_consultant_prices">'[2]Steering Wheel'!$F$29</definedName>
    <definedName name="Apply_the_updated_Hexene_1_price">'[2]Steering Wheel'!$F$35</definedName>
    <definedName name="Apply_Ziegler_latest_prices">'[2]Steering Wheel'!$F$33</definedName>
    <definedName name="Apply_Ziegler_sales_plan">'[2]Steering Wheel'!$F$38</definedName>
    <definedName name="bb" hidden="1">{#N/A,#N/A,FALSE,"K_DRIV"}</definedName>
    <definedName name="bbbb" hidden="1">{#N/A,#N/A,FALSE,"ASSUM"}</definedName>
    <definedName name="Data" localSheetId="8">#REF!</definedName>
    <definedName name="Data" localSheetId="9">#REF!</definedName>
    <definedName name="Data" localSheetId="10">#REF!</definedName>
    <definedName name="Data" localSheetId="11">#REF!</definedName>
    <definedName name="Data" localSheetId="3">#REF!</definedName>
    <definedName name="Data">#REF!</definedName>
    <definedName name="DateTimeOfRefresh" localSheetId="8">#REF!</definedName>
    <definedName name="DateTimeOfRefresh" localSheetId="9">#REF!</definedName>
    <definedName name="DateTimeOfRefresh" localSheetId="10">#REF!</definedName>
    <definedName name="DateTimeOfRefresh" localSheetId="11">#REF!</definedName>
    <definedName name="DateTimeOfRefresh" localSheetId="3">#REF!</definedName>
    <definedName name="DateTimeOfRefresh">#REF!</definedName>
    <definedName name="Days_in_a_year">[2]InputC_LCCP!$F$2332</definedName>
    <definedName name="dil" hidden="1">{#N/A,#N/A,FALSE,"K_DRIV"}</definedName>
    <definedName name="Escalation_Indices">[2]Escalation!$E$12:$E$17</definedName>
    <definedName name="Ethylene_sensitivity__US__ton">'[2]Steering Wheel'!$F$58</definedName>
    <definedName name="Financial_Year_end_month">[2]InputC_LCCP!$F$22</definedName>
    <definedName name="First_year_of_sensitivity">'[2]Steering Wheel'!$F$59</definedName>
    <definedName name="Hours_in_a_day">[2]InputC_LCCP!$F$2334</definedName>
    <definedName name="in" hidden="1">{#N/A,#N/A,FALSE,"EVA_RC"}</definedName>
    <definedName name="Include_additional_fixed_costs">'[2]Steering Wheel'!$F$23</definedName>
    <definedName name="Include_correction_to_PC_waterfall_case" localSheetId="8">'[2]Steering Wheel'!#REF!</definedName>
    <definedName name="Include_correction_to_PC_waterfall_case" localSheetId="9">'[2]Steering Wheel'!#REF!</definedName>
    <definedName name="Include_correction_to_PC_waterfall_case" localSheetId="10">'[2]Steering Wheel'!#REF!</definedName>
    <definedName name="Include_correction_to_PC_waterfall_case" localSheetId="11">'[2]Steering Wheel'!#REF!</definedName>
    <definedName name="Include_correction_to_PC_waterfall_case" localSheetId="3">'[2]Steering Wheel'!#REF!</definedName>
    <definedName name="Include_correction_to_PC_waterfall_case">'[2]Steering Wheel'!#REF!</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40498.8121412037</definedName>
    <definedName name="IQ_NTM" hidden="1">6000</definedName>
    <definedName name="IQ_TODAY" hidden="1">0</definedName>
    <definedName name="IQ_WEEK" hidden="1">50000</definedName>
    <definedName name="IQ_YTD" hidden="1">3000</definedName>
    <definedName name="IQ_YTDMONTH" hidden="1">130000</definedName>
    <definedName name="Is_the_GEM_being_updated?">'[2]Steering Wheel'!$F$11</definedName>
    <definedName name="Is_this_for_the_Budget" localSheetId="8">'[2]Steering Wheel'!#REF!</definedName>
    <definedName name="Is_this_for_the_Budget" localSheetId="9">'[2]Steering Wheel'!#REF!</definedName>
    <definedName name="Is_this_for_the_Budget" localSheetId="10">'[2]Steering Wheel'!#REF!</definedName>
    <definedName name="Is_this_for_the_Budget" localSheetId="11">'[2]Steering Wheel'!#REF!</definedName>
    <definedName name="Is_this_for_the_Budget" localSheetId="3">'[2]Steering Wheel'!#REF!</definedName>
    <definedName name="Is_this_for_the_Budget">'[2]Steering Wheel'!#REF!</definedName>
    <definedName name="Is_this_update_for_impairment" localSheetId="8">'[2]Steering Wheel'!#REF!</definedName>
    <definedName name="Is_this_update_for_impairment" localSheetId="9">'[2]Steering Wheel'!#REF!</definedName>
    <definedName name="Is_this_update_for_impairment" localSheetId="10">'[2]Steering Wheel'!#REF!</definedName>
    <definedName name="Is_this_update_for_impairment" localSheetId="11">'[2]Steering Wheel'!#REF!</definedName>
    <definedName name="Is_this_update_for_impairment" localSheetId="3">'[2]Steering Wheel'!#REF!</definedName>
    <definedName name="Is_this_update_for_impairment">'[2]Steering Wheel'!#REF!</definedName>
    <definedName name="Last_month_in_financial_year">[2]InputC_LCCP!$F$22</definedName>
    <definedName name="Last_year_of_sensitivity">'[2]Steering Wheel'!$F$60</definedName>
    <definedName name="LDPE_Sensitivity__US__ton">'[2]Steering Wheel'!$F$56</definedName>
    <definedName name="limcount" hidden="1">1</definedName>
    <definedName name="Linking_Range_1" localSheetId="8">#REF!</definedName>
    <definedName name="Linking_Range_1" localSheetId="9">#REF!</definedName>
    <definedName name="Linking_Range_1" localSheetId="10">#REF!</definedName>
    <definedName name="Linking_Range_1" localSheetId="11">#REF!</definedName>
    <definedName name="Linking_Range_1" localSheetId="3">#REF!</definedName>
    <definedName name="Linking_Range_1">#REF!</definedName>
    <definedName name="Linking_Range_10" localSheetId="8">#REF!</definedName>
    <definedName name="Linking_Range_10" localSheetId="9">#REF!</definedName>
    <definedName name="Linking_Range_10" localSheetId="10">#REF!</definedName>
    <definedName name="Linking_Range_10" localSheetId="11">#REF!</definedName>
    <definedName name="Linking_Range_10" localSheetId="3">#REF!</definedName>
    <definedName name="Linking_Range_10">#REF!</definedName>
    <definedName name="Linking_Range_11" localSheetId="8">#REF!</definedName>
    <definedName name="Linking_Range_11" localSheetId="9">#REF!</definedName>
    <definedName name="Linking_Range_11" localSheetId="10">#REF!</definedName>
    <definedName name="Linking_Range_11" localSheetId="11">#REF!</definedName>
    <definedName name="Linking_Range_11" localSheetId="3">#REF!</definedName>
    <definedName name="Linking_Range_11">#REF!</definedName>
    <definedName name="Linking_Range_2" localSheetId="8">#REF!</definedName>
    <definedName name="Linking_Range_2" localSheetId="9">#REF!</definedName>
    <definedName name="Linking_Range_2" localSheetId="10">#REF!</definedName>
    <definedName name="Linking_Range_2" localSheetId="11">#REF!</definedName>
    <definedName name="Linking_Range_2" localSheetId="3">#REF!</definedName>
    <definedName name="Linking_Range_2">#REF!</definedName>
    <definedName name="Linking_Range_3" localSheetId="8">#REF!</definedName>
    <definedName name="Linking_Range_3" localSheetId="9">#REF!</definedName>
    <definedName name="Linking_Range_3" localSheetId="10">#REF!</definedName>
    <definedName name="Linking_Range_3" localSheetId="11">#REF!</definedName>
    <definedName name="Linking_Range_3" localSheetId="3">#REF!</definedName>
    <definedName name="Linking_Range_3">#REF!</definedName>
    <definedName name="Linking_Range_4" localSheetId="8">#REF!</definedName>
    <definedName name="Linking_Range_4" localSheetId="9">#REF!</definedName>
    <definedName name="Linking_Range_4" localSheetId="10">#REF!</definedName>
    <definedName name="Linking_Range_4" localSheetId="11">#REF!</definedName>
    <definedName name="Linking_Range_4" localSheetId="3">#REF!</definedName>
    <definedName name="Linking_Range_4">#REF!</definedName>
    <definedName name="Linking_Range_5" localSheetId="8">#REF!</definedName>
    <definedName name="Linking_Range_5" localSheetId="9">#REF!</definedName>
    <definedName name="Linking_Range_5" localSheetId="10">#REF!</definedName>
    <definedName name="Linking_Range_5" localSheetId="11">#REF!</definedName>
    <definedName name="Linking_Range_5" localSheetId="3">#REF!</definedName>
    <definedName name="Linking_Range_5">#REF!</definedName>
    <definedName name="Linking_Range_6" localSheetId="8">#REF!</definedName>
    <definedName name="Linking_Range_6" localSheetId="9">#REF!</definedName>
    <definedName name="Linking_Range_6" localSheetId="10">#REF!</definedName>
    <definedName name="Linking_Range_6" localSheetId="11">#REF!</definedName>
    <definedName name="Linking_Range_6" localSheetId="3">#REF!</definedName>
    <definedName name="Linking_Range_6">#REF!</definedName>
    <definedName name="Linking_Range_7" localSheetId="8">#REF!</definedName>
    <definedName name="Linking_Range_7" localSheetId="9">#REF!</definedName>
    <definedName name="Linking_Range_7" localSheetId="10">#REF!</definedName>
    <definedName name="Linking_Range_7" localSheetId="11">#REF!</definedName>
    <definedName name="Linking_Range_7" localSheetId="3">#REF!</definedName>
    <definedName name="Linking_Range_7">#REF!</definedName>
    <definedName name="Linking_Range_8" localSheetId="8">#REF!</definedName>
    <definedName name="Linking_Range_8" localSheetId="9">#REF!</definedName>
    <definedName name="Linking_Range_8" localSheetId="10">#REF!</definedName>
    <definedName name="Linking_Range_8" localSheetId="11">#REF!</definedName>
    <definedName name="Linking_Range_8" localSheetId="3">#REF!</definedName>
    <definedName name="Linking_Range_8">#REF!</definedName>
    <definedName name="Linking_Range_9" localSheetId="8">#REF!</definedName>
    <definedName name="Linking_Range_9" localSheetId="9">#REF!</definedName>
    <definedName name="Linking_Range_9" localSheetId="10">#REF!</definedName>
    <definedName name="Linking_Range_9" localSheetId="11">#REF!</definedName>
    <definedName name="Linking_Range_9" localSheetId="3">#REF!</definedName>
    <definedName name="Linking_Range_9">#REF!</definedName>
    <definedName name="LLDPE_Sensitivity__US__ton">'[2]Steering Wheel'!$F$55</definedName>
    <definedName name="Mass_balance_scenarios">[2]InputC_LCCP!$K$5:$Q$5</definedName>
    <definedName name="MEG_sesnsitivity__US__ton">'[2]Steering Wheel'!$F$57</definedName>
    <definedName name="melani1" hidden="1">{#N/A,#N/A,FALSE,"K_DRIV"}</definedName>
    <definedName name="melanie" hidden="1">{#N/A,#N/A,FALSE,"K_DRIV"}</definedName>
    <definedName name="METRIC_1P_RESERVES_MBOE" localSheetId="8">#REF!</definedName>
    <definedName name="METRIC_1P_RESERVES_MBOE" localSheetId="9">#REF!</definedName>
    <definedName name="METRIC_1P_RESERVES_MBOE" localSheetId="10">#REF!</definedName>
    <definedName name="METRIC_1P_RESERVES_MBOE" localSheetId="11">#REF!</definedName>
    <definedName name="METRIC_1P_RESERVES_MBOE" localSheetId="3">#REF!</definedName>
    <definedName name="METRIC_1P_RESERVES_MBOE">#REF!</definedName>
    <definedName name="METRIC_ASSOCIATE_INCOME" localSheetId="8">#REF!</definedName>
    <definedName name="METRIC_ASSOCIATE_INCOME" localSheetId="9">#REF!</definedName>
    <definedName name="METRIC_ASSOCIATE_INCOME" localSheetId="10">#REF!</definedName>
    <definedName name="METRIC_ASSOCIATE_INCOME" localSheetId="11">#REF!</definedName>
    <definedName name="METRIC_ASSOCIATE_INCOME" localSheetId="3">#REF!</definedName>
    <definedName name="METRIC_ASSOCIATE_INCOME">#REF!</definedName>
    <definedName name="METRIC_BASIC_SHARES" localSheetId="8">#REF!</definedName>
    <definedName name="METRIC_BASIC_SHARES" localSheetId="9">#REF!</definedName>
    <definedName name="METRIC_BASIC_SHARES" localSheetId="10">#REF!</definedName>
    <definedName name="METRIC_BASIC_SHARES" localSheetId="11">#REF!</definedName>
    <definedName name="METRIC_BASIC_SHARES" localSheetId="3">#REF!</definedName>
    <definedName name="METRIC_BASIC_SHARES">#REF!</definedName>
    <definedName name="METRIC_BVPS" localSheetId="8">#REF!</definedName>
    <definedName name="METRIC_BVPS" localSheetId="9">#REF!</definedName>
    <definedName name="METRIC_BVPS" localSheetId="10">#REF!</definedName>
    <definedName name="METRIC_BVPS" localSheetId="11">#REF!</definedName>
    <definedName name="METRIC_BVPS" localSheetId="3">#REF!</definedName>
    <definedName name="METRIC_BVPS">#REF!</definedName>
    <definedName name="METRIC_CAPEX_DEPRECIATION" localSheetId="8">#REF!</definedName>
    <definedName name="METRIC_CAPEX_DEPRECIATION" localSheetId="9">#REF!</definedName>
    <definedName name="METRIC_CAPEX_DEPRECIATION" localSheetId="10">#REF!</definedName>
    <definedName name="METRIC_CAPEX_DEPRECIATION" localSheetId="11">#REF!</definedName>
    <definedName name="METRIC_CAPEX_DEPRECIATION" localSheetId="3">#REF!</definedName>
    <definedName name="METRIC_CAPEX_DEPRECIATION">#REF!</definedName>
    <definedName name="METRIC_CAPEX_SALES_PERCENT" localSheetId="8">#REF!</definedName>
    <definedName name="METRIC_CAPEX_SALES_PERCENT" localSheetId="9">#REF!</definedName>
    <definedName name="METRIC_CAPEX_SALES_PERCENT" localSheetId="10">#REF!</definedName>
    <definedName name="METRIC_CAPEX_SALES_PERCENT" localSheetId="11">#REF!</definedName>
    <definedName name="METRIC_CAPEX_SALES_PERCENT" localSheetId="3">#REF!</definedName>
    <definedName name="METRIC_CAPEX_SALES_PERCENT">#REF!</definedName>
    <definedName name="METRIC_CAPITAL_EMPLOYED" localSheetId="8">#REF!</definedName>
    <definedName name="METRIC_CAPITAL_EMPLOYED" localSheetId="9">#REF!</definedName>
    <definedName name="METRIC_CAPITAL_EMPLOYED" localSheetId="10">#REF!</definedName>
    <definedName name="METRIC_CAPITAL_EMPLOYED" localSheetId="11">#REF!</definedName>
    <definedName name="METRIC_CAPITAL_EMPLOYED" localSheetId="3">#REF!</definedName>
    <definedName name="METRIC_CAPITAL_EMPLOYED">#REF!</definedName>
    <definedName name="METRIC_CAPITAL_EXPENDITURE" localSheetId="8">#REF!</definedName>
    <definedName name="METRIC_CAPITAL_EXPENDITURE" localSheetId="9">#REF!</definedName>
    <definedName name="METRIC_CAPITAL_EXPENDITURE" localSheetId="10">#REF!</definedName>
    <definedName name="METRIC_CAPITAL_EXPENDITURE" localSheetId="11">#REF!</definedName>
    <definedName name="METRIC_CAPITAL_EXPENDITURE" localSheetId="3">#REF!</definedName>
    <definedName name="METRIC_CAPITAL_EXPENDITURE">#REF!</definedName>
    <definedName name="METRIC_CASH_AND_EQUIVALENTS" localSheetId="8">#REF!</definedName>
    <definedName name="METRIC_CASH_AND_EQUIVALENTS" localSheetId="9">#REF!</definedName>
    <definedName name="METRIC_CASH_AND_EQUIVALENTS" localSheetId="10">#REF!</definedName>
    <definedName name="METRIC_CASH_AND_EQUIVALENTS" localSheetId="11">#REF!</definedName>
    <definedName name="METRIC_CASH_AND_EQUIVALENTS" localSheetId="3">#REF!</definedName>
    <definedName name="METRIC_CASH_AND_EQUIVALENTS">#REF!</definedName>
    <definedName name="METRIC_CASH_FLOW_FROM_OPERATIONS" localSheetId="8">#REF!</definedName>
    <definedName name="METRIC_CASH_FLOW_FROM_OPERATIONS" localSheetId="9">#REF!</definedName>
    <definedName name="METRIC_CASH_FLOW_FROM_OPERATIONS" localSheetId="10">#REF!</definedName>
    <definedName name="METRIC_CASH_FLOW_FROM_OPERATIONS" localSheetId="11">#REF!</definedName>
    <definedName name="METRIC_CASH_FLOW_FROM_OPERATIONS" localSheetId="3">#REF!</definedName>
    <definedName name="METRIC_CASH_FLOW_FROM_OPERATIONS">#REF!</definedName>
    <definedName name="METRIC_CASH_FLOW_PER_SHARE" localSheetId="8">#REF!</definedName>
    <definedName name="METRIC_CASH_FLOW_PER_SHARE" localSheetId="9">#REF!</definedName>
    <definedName name="METRIC_CASH_FLOW_PER_SHARE" localSheetId="10">#REF!</definedName>
    <definedName name="METRIC_CASH_FLOW_PER_SHARE" localSheetId="11">#REF!</definedName>
    <definedName name="METRIC_CASH_FLOW_PER_SHARE" localSheetId="3">#REF!</definedName>
    <definedName name="METRIC_CASH_FLOW_PER_SHARE">#REF!</definedName>
    <definedName name="METRIC_CHANGE_IN_WORKING_CAPITAL" localSheetId="8">#REF!</definedName>
    <definedName name="METRIC_CHANGE_IN_WORKING_CAPITAL" localSheetId="9">#REF!</definedName>
    <definedName name="METRIC_CHANGE_IN_WORKING_CAPITAL" localSheetId="10">#REF!</definedName>
    <definedName name="METRIC_CHANGE_IN_WORKING_CAPITAL" localSheetId="11">#REF!</definedName>
    <definedName name="METRIC_CHANGE_IN_WORKING_CAPITAL" localSheetId="3">#REF!</definedName>
    <definedName name="METRIC_CHANGE_IN_WORKING_CAPITAL">#REF!</definedName>
    <definedName name="METRIC_CURRENT_DILUTED_SHARES" localSheetId="8">#REF!</definedName>
    <definedName name="METRIC_CURRENT_DILUTED_SHARES" localSheetId="9">#REF!</definedName>
    <definedName name="METRIC_CURRENT_DILUTED_SHARES" localSheetId="10">#REF!</definedName>
    <definedName name="METRIC_CURRENT_DILUTED_SHARES" localSheetId="11">#REF!</definedName>
    <definedName name="METRIC_CURRENT_DILUTED_SHARES" localSheetId="3">#REF!</definedName>
    <definedName name="METRIC_CURRENT_DILUTED_SHARES">#REF!</definedName>
    <definedName name="METRIC_CURRENT_SHARES" localSheetId="8">#REF!</definedName>
    <definedName name="METRIC_CURRENT_SHARES" localSheetId="9">#REF!</definedName>
    <definedName name="METRIC_CURRENT_SHARES" localSheetId="10">#REF!</definedName>
    <definedName name="METRIC_CURRENT_SHARES" localSheetId="11">#REF!</definedName>
    <definedName name="METRIC_CURRENT_SHARES" localSheetId="3">#REF!</definedName>
    <definedName name="METRIC_CURRENT_SHARES">#REF!</definedName>
    <definedName name="METRIC_DEPRECIATION_AND_AMORTISATION" localSheetId="8">#REF!</definedName>
    <definedName name="METRIC_DEPRECIATION_AND_AMORTISATION" localSheetId="9">#REF!</definedName>
    <definedName name="METRIC_DEPRECIATION_AND_AMORTISATION" localSheetId="10">#REF!</definedName>
    <definedName name="METRIC_DEPRECIATION_AND_AMORTISATION" localSheetId="11">#REF!</definedName>
    <definedName name="METRIC_DEPRECIATION_AND_AMORTISATION" localSheetId="3">#REF!</definedName>
    <definedName name="METRIC_DEPRECIATION_AND_AMORTISATION">#REF!</definedName>
    <definedName name="METRIC_DILUTED_SHARES" localSheetId="8">#REF!</definedName>
    <definedName name="METRIC_DILUTED_SHARES" localSheetId="9">#REF!</definedName>
    <definedName name="METRIC_DILUTED_SHARES" localSheetId="10">#REF!</definedName>
    <definedName name="METRIC_DILUTED_SHARES" localSheetId="11">#REF!</definedName>
    <definedName name="METRIC_DILUTED_SHARES" localSheetId="3">#REF!</definedName>
    <definedName name="METRIC_DILUTED_SHARES">#REF!</definedName>
    <definedName name="METRIC_DIVIDEND_PER_SHARE" localSheetId="8">#REF!</definedName>
    <definedName name="METRIC_DIVIDEND_PER_SHARE" localSheetId="9">#REF!</definedName>
    <definedName name="METRIC_DIVIDEND_PER_SHARE" localSheetId="10">#REF!</definedName>
    <definedName name="METRIC_DIVIDEND_PER_SHARE" localSheetId="11">#REF!</definedName>
    <definedName name="METRIC_DIVIDEND_PER_SHARE" localSheetId="3">#REF!</definedName>
    <definedName name="METRIC_DIVIDEND_PER_SHARE">#REF!</definedName>
    <definedName name="METRIC_DIVIDEND_YIELD" localSheetId="8">#REF!</definedName>
    <definedName name="METRIC_DIVIDEND_YIELD" localSheetId="9">#REF!</definedName>
    <definedName name="METRIC_DIVIDEND_YIELD" localSheetId="10">#REF!</definedName>
    <definedName name="METRIC_DIVIDEND_YIELD" localSheetId="11">#REF!</definedName>
    <definedName name="METRIC_DIVIDEND_YIELD" localSheetId="3">#REF!</definedName>
    <definedName name="METRIC_DIVIDEND_YIELD">#REF!</definedName>
    <definedName name="METRIC_DIVIDENDS_PAID" localSheetId="8">#REF!</definedName>
    <definedName name="METRIC_DIVIDENDS_PAID" localSheetId="9">#REF!</definedName>
    <definedName name="METRIC_DIVIDENDS_PAID" localSheetId="10">#REF!</definedName>
    <definedName name="METRIC_DIVIDENDS_PAID" localSheetId="11">#REF!</definedName>
    <definedName name="METRIC_DIVIDENDS_PAID" localSheetId="3">#REF!</definedName>
    <definedName name="METRIC_DIVIDENDS_PAID">#REF!</definedName>
    <definedName name="METRIC_DOWNSIDE_CASE" localSheetId="8">#REF!</definedName>
    <definedName name="METRIC_DOWNSIDE_CASE" localSheetId="9">#REF!</definedName>
    <definedName name="METRIC_DOWNSIDE_CASE" localSheetId="10">#REF!</definedName>
    <definedName name="METRIC_DOWNSIDE_CASE" localSheetId="11">#REF!</definedName>
    <definedName name="METRIC_DOWNSIDE_CASE" localSheetId="3">#REF!</definedName>
    <definedName name="METRIC_DOWNSIDE_CASE">#REF!</definedName>
    <definedName name="METRIC_EBIDA" localSheetId="8">#REF!</definedName>
    <definedName name="METRIC_EBIDA" localSheetId="9">#REF!</definedName>
    <definedName name="METRIC_EBIDA" localSheetId="10">#REF!</definedName>
    <definedName name="METRIC_EBIDA" localSheetId="11">#REF!</definedName>
    <definedName name="METRIC_EBIDA" localSheetId="3">#REF!</definedName>
    <definedName name="METRIC_EBIDA">#REF!</definedName>
    <definedName name="METRIC_EBIDA_ADJ" localSheetId="8">#REF!</definedName>
    <definedName name="METRIC_EBIDA_ADJ" localSheetId="9">#REF!</definedName>
    <definedName name="METRIC_EBIDA_ADJ" localSheetId="10">#REF!</definedName>
    <definedName name="METRIC_EBIDA_ADJ" localSheetId="11">#REF!</definedName>
    <definedName name="METRIC_EBIDA_ADJ" localSheetId="3">#REF!</definedName>
    <definedName name="METRIC_EBIDA_ADJ">#REF!</definedName>
    <definedName name="METRIC_EBIT" localSheetId="8">#REF!</definedName>
    <definedName name="METRIC_EBIT" localSheetId="9">#REF!</definedName>
    <definedName name="METRIC_EBIT" localSheetId="10">#REF!</definedName>
    <definedName name="METRIC_EBIT" localSheetId="11">#REF!</definedName>
    <definedName name="METRIC_EBIT" localSheetId="3">#REF!</definedName>
    <definedName name="METRIC_EBIT">#REF!</definedName>
    <definedName name="METRIC_EBIT_ADJUSTED" localSheetId="8">#REF!</definedName>
    <definedName name="METRIC_EBIT_ADJUSTED" localSheetId="9">#REF!</definedName>
    <definedName name="METRIC_EBIT_ADJUSTED" localSheetId="10">#REF!</definedName>
    <definedName name="METRIC_EBIT_ADJUSTED" localSheetId="11">#REF!</definedName>
    <definedName name="METRIC_EBIT_ADJUSTED" localSheetId="3">#REF!</definedName>
    <definedName name="METRIC_EBIT_ADJUSTED">#REF!</definedName>
    <definedName name="METRIC_EBIT_ADJUSTED_MARGIN" localSheetId="8">#REF!</definedName>
    <definedName name="METRIC_EBIT_ADJUSTED_MARGIN" localSheetId="9">#REF!</definedName>
    <definedName name="METRIC_EBIT_ADJUSTED_MARGIN" localSheetId="10">#REF!</definedName>
    <definedName name="METRIC_EBIT_ADJUSTED_MARGIN" localSheetId="11">#REF!</definedName>
    <definedName name="METRIC_EBIT_ADJUSTED_MARGIN" localSheetId="3">#REF!</definedName>
    <definedName name="METRIC_EBIT_ADJUSTED_MARGIN">#REF!</definedName>
    <definedName name="METRIC_EBIT_MARGIN" localSheetId="8">#REF!</definedName>
    <definedName name="METRIC_EBIT_MARGIN" localSheetId="9">#REF!</definedName>
    <definedName name="METRIC_EBIT_MARGIN" localSheetId="10">#REF!</definedName>
    <definedName name="METRIC_EBIT_MARGIN" localSheetId="11">#REF!</definedName>
    <definedName name="METRIC_EBIT_MARGIN" localSheetId="3">#REF!</definedName>
    <definedName name="METRIC_EBIT_MARGIN">#REF!</definedName>
    <definedName name="METRIC_EBITDA" localSheetId="8">#REF!</definedName>
    <definedName name="METRIC_EBITDA" localSheetId="9">#REF!</definedName>
    <definedName name="METRIC_EBITDA" localSheetId="10">#REF!</definedName>
    <definedName name="METRIC_EBITDA" localSheetId="11">#REF!</definedName>
    <definedName name="METRIC_EBITDA" localSheetId="3">#REF!</definedName>
    <definedName name="METRIC_EBITDA">#REF!</definedName>
    <definedName name="METRIC_EBITDA_ADJUSTED" localSheetId="8">#REF!</definedName>
    <definedName name="METRIC_EBITDA_ADJUSTED" localSheetId="9">#REF!</definedName>
    <definedName name="METRIC_EBITDA_ADJUSTED" localSheetId="10">#REF!</definedName>
    <definedName name="METRIC_EBITDA_ADJUSTED" localSheetId="11">#REF!</definedName>
    <definedName name="METRIC_EBITDA_ADJUSTED" localSheetId="3">#REF!</definedName>
    <definedName name="METRIC_EBITDA_ADJUSTED">#REF!</definedName>
    <definedName name="METRIC_EBITDA_ADJUSTED_MARGIN" localSheetId="8">#REF!</definedName>
    <definedName name="METRIC_EBITDA_ADJUSTED_MARGIN" localSheetId="9">#REF!</definedName>
    <definedName name="METRIC_EBITDA_ADJUSTED_MARGIN" localSheetId="10">#REF!</definedName>
    <definedName name="METRIC_EBITDA_ADJUSTED_MARGIN" localSheetId="11">#REF!</definedName>
    <definedName name="METRIC_EBITDA_ADJUSTED_MARGIN" localSheetId="3">#REF!</definedName>
    <definedName name="METRIC_EBITDA_ADJUSTED_MARGIN">#REF!</definedName>
    <definedName name="METRIC_EBITDA_MARGIN" localSheetId="8">#REF!</definedName>
    <definedName name="METRIC_EBITDA_MARGIN" localSheetId="9">#REF!</definedName>
    <definedName name="METRIC_EBITDA_MARGIN" localSheetId="10">#REF!</definedName>
    <definedName name="METRIC_EBITDA_MARGIN" localSheetId="11">#REF!</definedName>
    <definedName name="METRIC_EBITDA_MARGIN" localSheetId="3">#REF!</definedName>
    <definedName name="METRIC_EBITDA_MARGIN">#REF!</definedName>
    <definedName name="METRIC_EPS_ADJ_CURRENCY" localSheetId="8">#REF!</definedName>
    <definedName name="METRIC_EPS_ADJ_CURRENCY" localSheetId="9">#REF!</definedName>
    <definedName name="METRIC_EPS_ADJ_CURRENCY" localSheetId="10">#REF!</definedName>
    <definedName name="METRIC_EPS_ADJ_CURRENCY" localSheetId="11">#REF!</definedName>
    <definedName name="METRIC_EPS_ADJ_CURRENCY" localSheetId="3">#REF!</definedName>
    <definedName name="METRIC_EPS_ADJ_CURRENCY">#REF!</definedName>
    <definedName name="METRIC_EPS_ADJUSTED" localSheetId="8">#REF!</definedName>
    <definedName name="METRIC_EPS_ADJUSTED" localSheetId="9">#REF!</definedName>
    <definedName name="METRIC_EPS_ADJUSTED" localSheetId="10">#REF!</definedName>
    <definedName name="METRIC_EPS_ADJUSTED" localSheetId="11">#REF!</definedName>
    <definedName name="METRIC_EPS_ADJUSTED" localSheetId="3">#REF!</definedName>
    <definedName name="METRIC_EPS_ADJUSTED">#REF!</definedName>
    <definedName name="METRIC_EPS_REPORTED" localSheetId="8">#REF!</definedName>
    <definedName name="METRIC_EPS_REPORTED" localSheetId="9">#REF!</definedName>
    <definedName name="METRIC_EPS_REPORTED" localSheetId="10">#REF!</definedName>
    <definedName name="METRIC_EPS_REPORTED" localSheetId="11">#REF!</definedName>
    <definedName name="METRIC_EPS_REPORTED" localSheetId="3">#REF!</definedName>
    <definedName name="METRIC_EPS_REPORTED">#REF!</definedName>
    <definedName name="METRIC_EQUITY_FREE_CASH_FLOW_PER_SHARE" localSheetId="8">#REF!</definedName>
    <definedName name="METRIC_EQUITY_FREE_CASH_FLOW_PER_SHARE" localSheetId="9">#REF!</definedName>
    <definedName name="METRIC_EQUITY_FREE_CASH_FLOW_PER_SHARE" localSheetId="10">#REF!</definedName>
    <definedName name="METRIC_EQUITY_FREE_CASH_FLOW_PER_SHARE" localSheetId="11">#REF!</definedName>
    <definedName name="METRIC_EQUITY_FREE_CASH_FLOW_PER_SHARE" localSheetId="3">#REF!</definedName>
    <definedName name="METRIC_EQUITY_FREE_CASH_FLOW_PER_SHARE">#REF!</definedName>
    <definedName name="METRIC_EV_1P_RESERVES_BOE" localSheetId="8">#REF!</definedName>
    <definedName name="METRIC_EV_1P_RESERVES_BOE" localSheetId="9">#REF!</definedName>
    <definedName name="METRIC_EV_1P_RESERVES_BOE" localSheetId="10">#REF!</definedName>
    <definedName name="METRIC_EV_1P_RESERVES_BOE" localSheetId="11">#REF!</definedName>
    <definedName name="METRIC_EV_1P_RESERVES_BOE" localSheetId="3">#REF!</definedName>
    <definedName name="METRIC_EV_1P_RESERVES_BOE">#REF!</definedName>
    <definedName name="METRIC_EV_ADJUSTED_EBIDA" localSheetId="8">#REF!</definedName>
    <definedName name="METRIC_EV_ADJUSTED_EBIDA" localSheetId="9">#REF!</definedName>
    <definedName name="METRIC_EV_ADJUSTED_EBIDA" localSheetId="10">#REF!</definedName>
    <definedName name="METRIC_EV_ADJUSTED_EBIDA" localSheetId="11">#REF!</definedName>
    <definedName name="METRIC_EV_ADJUSTED_EBIDA" localSheetId="3">#REF!</definedName>
    <definedName name="METRIC_EV_ADJUSTED_EBIDA">#REF!</definedName>
    <definedName name="METRIC_EV_ADJUSTED_EBITDA" localSheetId="8">#REF!</definedName>
    <definedName name="METRIC_EV_ADJUSTED_EBITDA" localSheetId="9">#REF!</definedName>
    <definedName name="METRIC_EV_ADJUSTED_EBITDA" localSheetId="10">#REF!</definedName>
    <definedName name="METRIC_EV_ADJUSTED_EBITDA" localSheetId="11">#REF!</definedName>
    <definedName name="METRIC_EV_ADJUSTED_EBITDA" localSheetId="3">#REF!</definedName>
    <definedName name="METRIC_EV_ADJUSTED_EBITDA">#REF!</definedName>
    <definedName name="METRIC_EV_BOE" localSheetId="8">#REF!</definedName>
    <definedName name="METRIC_EV_BOE" localSheetId="9">#REF!</definedName>
    <definedName name="METRIC_EV_BOE" localSheetId="10">#REF!</definedName>
    <definedName name="METRIC_EV_BOE" localSheetId="11">#REF!</definedName>
    <definedName name="METRIC_EV_BOE" localSheetId="3">#REF!</definedName>
    <definedName name="METRIC_EV_BOE">#REF!</definedName>
    <definedName name="METRIC_EV_EBITDA" localSheetId="8">#REF!</definedName>
    <definedName name="METRIC_EV_EBITDA" localSheetId="9">#REF!</definedName>
    <definedName name="METRIC_EV_EBITDA" localSheetId="10">#REF!</definedName>
    <definedName name="METRIC_EV_EBITDA" localSheetId="11">#REF!</definedName>
    <definedName name="METRIC_EV_EBITDA" localSheetId="3">#REF!</definedName>
    <definedName name="METRIC_EV_EBITDA">#REF!</definedName>
    <definedName name="METRIC_EV_EX_MKT_CAP" localSheetId="8">#REF!</definedName>
    <definedName name="METRIC_EV_EX_MKT_CAP" localSheetId="9">#REF!</definedName>
    <definedName name="METRIC_EV_EX_MKT_CAP" localSheetId="10">#REF!</definedName>
    <definedName name="METRIC_EV_EX_MKT_CAP" localSheetId="11">#REF!</definedName>
    <definedName name="METRIC_EV_EX_MKT_CAP" localSheetId="3">#REF!</definedName>
    <definedName name="METRIC_EV_EX_MKT_CAP">#REF!</definedName>
    <definedName name="METRIC_EV_SALES" localSheetId="8">#REF!</definedName>
    <definedName name="METRIC_EV_SALES" localSheetId="9">#REF!</definedName>
    <definedName name="METRIC_EV_SALES" localSheetId="10">#REF!</definedName>
    <definedName name="METRIC_EV_SALES" localSheetId="11">#REF!</definedName>
    <definedName name="METRIC_EV_SALES" localSheetId="3">#REF!</definedName>
    <definedName name="METRIC_EV_SALES">#REF!</definedName>
    <definedName name="METRIC_F_AND_D_COST_DOLLAR_BARREL" localSheetId="8">#REF!</definedName>
    <definedName name="METRIC_F_AND_D_COST_DOLLAR_BARREL" localSheetId="9">#REF!</definedName>
    <definedName name="METRIC_F_AND_D_COST_DOLLAR_BARREL" localSheetId="10">#REF!</definedName>
    <definedName name="METRIC_F_AND_D_COST_DOLLAR_BARREL" localSheetId="11">#REF!</definedName>
    <definedName name="METRIC_F_AND_D_COST_DOLLAR_BARREL" localSheetId="3">#REF!</definedName>
    <definedName name="METRIC_F_AND_D_COST_DOLLAR_BARREL">#REF!</definedName>
    <definedName name="METRIC_FAIR_VALUE_INTERESTS_ASSOCIATES" localSheetId="8">#REF!</definedName>
    <definedName name="METRIC_FAIR_VALUE_INTERESTS_ASSOCIATES" localSheetId="9">#REF!</definedName>
    <definedName name="METRIC_FAIR_VALUE_INTERESTS_ASSOCIATES" localSheetId="10">#REF!</definedName>
    <definedName name="METRIC_FAIR_VALUE_INTERESTS_ASSOCIATES" localSheetId="11">#REF!</definedName>
    <definedName name="METRIC_FAIR_VALUE_INTERESTS_ASSOCIATES" localSheetId="3">#REF!</definedName>
    <definedName name="METRIC_FAIR_VALUE_INTERESTS_ASSOCIATES">#REF!</definedName>
    <definedName name="METRIC_FAIR_VALUE_MINORITY_INTERESTS" localSheetId="8">#REF!</definedName>
    <definedName name="METRIC_FAIR_VALUE_MINORITY_INTERESTS" localSheetId="9">#REF!</definedName>
    <definedName name="METRIC_FAIR_VALUE_MINORITY_INTERESTS" localSheetId="10">#REF!</definedName>
    <definedName name="METRIC_FAIR_VALUE_MINORITY_INTERESTS" localSheetId="11">#REF!</definedName>
    <definedName name="METRIC_FAIR_VALUE_MINORITY_INTERESTS" localSheetId="3">#REF!</definedName>
    <definedName name="METRIC_FAIR_VALUE_MINORITY_INTERESTS">#REF!</definedName>
    <definedName name="METRIC_FCF_YIELD" localSheetId="8">#REF!</definedName>
    <definedName name="METRIC_FCF_YIELD" localSheetId="9">#REF!</definedName>
    <definedName name="METRIC_FCF_YIELD" localSheetId="10">#REF!</definedName>
    <definedName name="METRIC_FCF_YIELD" localSheetId="11">#REF!</definedName>
    <definedName name="METRIC_FCF_YIELD" localSheetId="3">#REF!</definedName>
    <definedName name="METRIC_FCF_YIELD">#REF!</definedName>
    <definedName name="METRIC_FINANCIAL_ASSETS_NON_CURRENT" localSheetId="8">#REF!</definedName>
    <definedName name="METRIC_FINANCIAL_ASSETS_NON_CURRENT" localSheetId="9">#REF!</definedName>
    <definedName name="METRIC_FINANCIAL_ASSETS_NON_CURRENT" localSheetId="10">#REF!</definedName>
    <definedName name="METRIC_FINANCIAL_ASSETS_NON_CURRENT" localSheetId="11">#REF!</definedName>
    <definedName name="METRIC_FINANCIAL_ASSETS_NON_CURRENT" localSheetId="3">#REF!</definedName>
    <definedName name="METRIC_FINANCIAL_ASSETS_NON_CURRENT">#REF!</definedName>
    <definedName name="METRIC_FREE_CASH_FLOW" localSheetId="8">#REF!</definedName>
    <definedName name="METRIC_FREE_CASH_FLOW" localSheetId="9">#REF!</definedName>
    <definedName name="METRIC_FREE_CASH_FLOW" localSheetId="10">#REF!</definedName>
    <definedName name="METRIC_FREE_CASH_FLOW" localSheetId="11">#REF!</definedName>
    <definedName name="METRIC_FREE_CASH_FLOW" localSheetId="3">#REF!</definedName>
    <definedName name="METRIC_FREE_CASH_FLOW">#REF!</definedName>
    <definedName name="METRIC_FREE_CASH_FLOW_TO_EQUITY" localSheetId="8">#REF!</definedName>
    <definedName name="METRIC_FREE_CASH_FLOW_TO_EQUITY" localSheetId="9">#REF!</definedName>
    <definedName name="METRIC_FREE_CASH_FLOW_TO_EQUITY" localSheetId="10">#REF!</definedName>
    <definedName name="METRIC_FREE_CASH_FLOW_TO_EQUITY" localSheetId="11">#REF!</definedName>
    <definedName name="METRIC_FREE_CASH_FLOW_TO_EQUITY" localSheetId="3">#REF!</definedName>
    <definedName name="METRIC_FREE_CASH_FLOW_TO_EQUITY">#REF!</definedName>
    <definedName name="METRIC_GAS_PRODUCTION_KCFD" localSheetId="8">#REF!</definedName>
    <definedName name="METRIC_GAS_PRODUCTION_KCFD" localSheetId="9">#REF!</definedName>
    <definedName name="METRIC_GAS_PRODUCTION_KCFD" localSheetId="10">#REF!</definedName>
    <definedName name="METRIC_GAS_PRODUCTION_KCFD" localSheetId="11">#REF!</definedName>
    <definedName name="METRIC_GAS_PRODUCTION_KCFD" localSheetId="3">#REF!</definedName>
    <definedName name="METRIC_GAS_PRODUCTION_KCFD">#REF!</definedName>
    <definedName name="METRIC_GAS_PRODUCTION_MCFD" localSheetId="8">#REF!</definedName>
    <definedName name="METRIC_GAS_PRODUCTION_MCFD" localSheetId="9">#REF!</definedName>
    <definedName name="METRIC_GAS_PRODUCTION_MCFD" localSheetId="10">#REF!</definedName>
    <definedName name="METRIC_GAS_PRODUCTION_MCFD" localSheetId="11">#REF!</definedName>
    <definedName name="METRIC_GAS_PRODUCTION_MCFD" localSheetId="3">#REF!</definedName>
    <definedName name="METRIC_GAS_PRODUCTION_MCFD">#REF!</definedName>
    <definedName name="METRIC_HEDGE_ADJ_PICF" localSheetId="8">#REF!</definedName>
    <definedName name="METRIC_HEDGE_ADJ_PICF" localSheetId="9">#REF!</definedName>
    <definedName name="METRIC_HEDGE_ADJ_PICF" localSheetId="10">#REF!</definedName>
    <definedName name="METRIC_HEDGE_ADJ_PICF" localSheetId="11">#REF!</definedName>
    <definedName name="METRIC_HEDGE_ADJ_PICF" localSheetId="3">#REF!</definedName>
    <definedName name="METRIC_HEDGE_ADJ_PICF">#REF!</definedName>
    <definedName name="METRIC_INTANGIBLE_FIXED_ASSETS" localSheetId="8">#REF!</definedName>
    <definedName name="METRIC_INTANGIBLE_FIXED_ASSETS" localSheetId="9">#REF!</definedName>
    <definedName name="METRIC_INTANGIBLE_FIXED_ASSETS" localSheetId="10">#REF!</definedName>
    <definedName name="METRIC_INTANGIBLE_FIXED_ASSETS" localSheetId="11">#REF!</definedName>
    <definedName name="METRIC_INTANGIBLE_FIXED_ASSETS" localSheetId="3">#REF!</definedName>
    <definedName name="METRIC_INTANGIBLE_FIXED_ASSETS">#REF!</definedName>
    <definedName name="METRIC_INTEREST_COVER" localSheetId="8">#REF!</definedName>
    <definedName name="METRIC_INTEREST_COVER" localSheetId="9">#REF!</definedName>
    <definedName name="METRIC_INTEREST_COVER" localSheetId="10">#REF!</definedName>
    <definedName name="METRIC_INTEREST_COVER" localSheetId="11">#REF!</definedName>
    <definedName name="METRIC_INTEREST_COVER" localSheetId="3">#REF!</definedName>
    <definedName name="METRIC_INTEREST_COVER">#REF!</definedName>
    <definedName name="METRIC_MINORITIES" localSheetId="8">#REF!</definedName>
    <definedName name="METRIC_MINORITIES" localSheetId="9">#REF!</definedName>
    <definedName name="METRIC_MINORITIES" localSheetId="10">#REF!</definedName>
    <definedName name="METRIC_MINORITIES" localSheetId="11">#REF!</definedName>
    <definedName name="METRIC_MINORITIES" localSheetId="3">#REF!</definedName>
    <definedName name="METRIC_MINORITIES">#REF!</definedName>
    <definedName name="METRIC_MINORITY_INTEREST" localSheetId="8">#REF!</definedName>
    <definedName name="METRIC_MINORITY_INTEREST" localSheetId="9">#REF!</definedName>
    <definedName name="METRIC_MINORITY_INTEREST" localSheetId="10">#REF!</definedName>
    <definedName name="METRIC_MINORITY_INTEREST" localSheetId="11">#REF!</definedName>
    <definedName name="METRIC_MINORITY_INTEREST" localSheetId="3">#REF!</definedName>
    <definedName name="METRIC_MINORITY_INTEREST">#REF!</definedName>
    <definedName name="METRIC_NET_ADJUSTED_MARGIN" localSheetId="8">#REF!</definedName>
    <definedName name="METRIC_NET_ADJUSTED_MARGIN" localSheetId="9">#REF!</definedName>
    <definedName name="METRIC_NET_ADJUSTED_MARGIN" localSheetId="10">#REF!</definedName>
    <definedName name="METRIC_NET_ADJUSTED_MARGIN" localSheetId="11">#REF!</definedName>
    <definedName name="METRIC_NET_ADJUSTED_MARGIN" localSheetId="3">#REF!</definedName>
    <definedName name="METRIC_NET_ADJUSTED_MARGIN">#REF!</definedName>
    <definedName name="METRIC_NET_CASH_FROM_OPERATIONS" localSheetId="8">#REF!</definedName>
    <definedName name="METRIC_NET_CASH_FROM_OPERATIONS" localSheetId="9">#REF!</definedName>
    <definedName name="METRIC_NET_CASH_FROM_OPERATIONS" localSheetId="10">#REF!</definedName>
    <definedName name="METRIC_NET_CASH_FROM_OPERATIONS" localSheetId="11">#REF!</definedName>
    <definedName name="METRIC_NET_CASH_FROM_OPERATIONS" localSheetId="3">#REF!</definedName>
    <definedName name="METRIC_NET_CASH_FROM_OPERATIONS">#REF!</definedName>
    <definedName name="METRIC_NET_CASH_SURPLUS_DEFICIT" localSheetId="8">#REF!</definedName>
    <definedName name="METRIC_NET_CASH_SURPLUS_DEFICIT" localSheetId="9">#REF!</definedName>
    <definedName name="METRIC_NET_CASH_SURPLUS_DEFICIT" localSheetId="10">#REF!</definedName>
    <definedName name="METRIC_NET_CASH_SURPLUS_DEFICIT" localSheetId="11">#REF!</definedName>
    <definedName name="METRIC_NET_CASH_SURPLUS_DEFICIT" localSheetId="3">#REF!</definedName>
    <definedName name="METRIC_NET_CASH_SURPLUS_DEFICIT">#REF!</definedName>
    <definedName name="METRIC_NET_DEBT_CAPITAL" localSheetId="8">#REF!</definedName>
    <definedName name="METRIC_NET_DEBT_CAPITAL" localSheetId="9">#REF!</definedName>
    <definedName name="METRIC_NET_DEBT_CAPITAL" localSheetId="10">#REF!</definedName>
    <definedName name="METRIC_NET_DEBT_CAPITAL" localSheetId="11">#REF!</definedName>
    <definedName name="METRIC_NET_DEBT_CAPITAL" localSheetId="3">#REF!</definedName>
    <definedName name="METRIC_NET_DEBT_CAPITAL">#REF!</definedName>
    <definedName name="METRIC_NET_DEBT_EBITDA" localSheetId="8">#REF!</definedName>
    <definedName name="METRIC_NET_DEBT_EBITDA" localSheetId="9">#REF!</definedName>
    <definedName name="METRIC_NET_DEBT_EBITDA" localSheetId="10">#REF!</definedName>
    <definedName name="METRIC_NET_DEBT_EBITDA" localSheetId="11">#REF!</definedName>
    <definedName name="METRIC_NET_DEBT_EBITDA" localSheetId="3">#REF!</definedName>
    <definedName name="METRIC_NET_DEBT_EBITDA">#REF!</definedName>
    <definedName name="METRIC_NET_DEBT_EBITDA_ADJUSTED" localSheetId="8">#REF!</definedName>
    <definedName name="METRIC_NET_DEBT_EBITDA_ADJUSTED" localSheetId="9">#REF!</definedName>
    <definedName name="METRIC_NET_DEBT_EBITDA_ADJUSTED" localSheetId="10">#REF!</definedName>
    <definedName name="METRIC_NET_DEBT_EBITDA_ADJUSTED" localSheetId="11">#REF!</definedName>
    <definedName name="METRIC_NET_DEBT_EBITDA_ADJUSTED" localSheetId="3">#REF!</definedName>
    <definedName name="METRIC_NET_DEBT_EBITDA_ADJUSTED">#REF!</definedName>
    <definedName name="METRIC_NET_DEBT_EQUITY" localSheetId="8">#REF!</definedName>
    <definedName name="METRIC_NET_DEBT_EQUITY" localSheetId="9">#REF!</definedName>
    <definedName name="METRIC_NET_DEBT_EQUITY" localSheetId="10">#REF!</definedName>
    <definedName name="METRIC_NET_DEBT_EQUITY" localSheetId="11">#REF!</definedName>
    <definedName name="METRIC_NET_DEBT_EQUITY" localSheetId="3">#REF!</definedName>
    <definedName name="METRIC_NET_DEBT_EQUITY">#REF!</definedName>
    <definedName name="METRIC_NET_DEBT_FUNDS" localSheetId="8">#REF!</definedName>
    <definedName name="METRIC_NET_DEBT_FUNDS" localSheetId="9">#REF!</definedName>
    <definedName name="METRIC_NET_DEBT_FUNDS" localSheetId="10">#REF!</definedName>
    <definedName name="METRIC_NET_DEBT_FUNDS" localSheetId="11">#REF!</definedName>
    <definedName name="METRIC_NET_DEBT_FUNDS" localSheetId="3">#REF!</definedName>
    <definedName name="METRIC_NET_DEBT_FUNDS">#REF!</definedName>
    <definedName name="METRIC_NET_INCOME" localSheetId="8">#REF!</definedName>
    <definedName name="METRIC_NET_INCOME" localSheetId="9">#REF!</definedName>
    <definedName name="METRIC_NET_INCOME" localSheetId="10">#REF!</definedName>
    <definedName name="METRIC_NET_INCOME" localSheetId="11">#REF!</definedName>
    <definedName name="METRIC_NET_INCOME" localSheetId="3">#REF!</definedName>
    <definedName name="METRIC_NET_INCOME">#REF!</definedName>
    <definedName name="METRIC_NET_INCOME_ADJUSTED" localSheetId="8">#REF!</definedName>
    <definedName name="METRIC_NET_INCOME_ADJUSTED" localSheetId="9">#REF!</definedName>
    <definedName name="METRIC_NET_INCOME_ADJUSTED" localSheetId="10">#REF!</definedName>
    <definedName name="METRIC_NET_INCOME_ADJUSTED" localSheetId="11">#REF!</definedName>
    <definedName name="METRIC_NET_INCOME_ADJUSTED" localSheetId="3">#REF!</definedName>
    <definedName name="METRIC_NET_INCOME_ADJUSTED">#REF!</definedName>
    <definedName name="METRIC_NET_INCOME_BL" localSheetId="8">#REF!</definedName>
    <definedName name="METRIC_NET_INCOME_BL" localSheetId="9">#REF!</definedName>
    <definedName name="METRIC_NET_INCOME_BL" localSheetId="10">#REF!</definedName>
    <definedName name="METRIC_NET_INCOME_BL" localSheetId="11">#REF!</definedName>
    <definedName name="METRIC_NET_INCOME_BL" localSheetId="3">#REF!</definedName>
    <definedName name="METRIC_NET_INCOME_BL">#REF!</definedName>
    <definedName name="METRIC_NET_INCOME_BOE" localSheetId="8">#REF!</definedName>
    <definedName name="METRIC_NET_INCOME_BOE" localSheetId="9">#REF!</definedName>
    <definedName name="METRIC_NET_INCOME_BOE" localSheetId="10">#REF!</definedName>
    <definedName name="METRIC_NET_INCOME_BOE" localSheetId="11">#REF!</definedName>
    <definedName name="METRIC_NET_INCOME_BOE" localSheetId="3">#REF!</definedName>
    <definedName name="METRIC_NET_INCOME_BOE">#REF!</definedName>
    <definedName name="METRIC_NET_MARGIN" localSheetId="8">#REF!</definedName>
    <definedName name="METRIC_NET_MARGIN" localSheetId="9">#REF!</definedName>
    <definedName name="METRIC_NET_MARGIN" localSheetId="10">#REF!</definedName>
    <definedName name="METRIC_NET_MARGIN" localSheetId="11">#REF!</definedName>
    <definedName name="METRIC_NET_MARGIN" localSheetId="3">#REF!</definedName>
    <definedName name="METRIC_NET_MARGIN">#REF!</definedName>
    <definedName name="METRIC_NOPAT" localSheetId="8">#REF!</definedName>
    <definedName name="METRIC_NOPAT" localSheetId="9">#REF!</definedName>
    <definedName name="METRIC_NOPAT" localSheetId="10">#REF!</definedName>
    <definedName name="METRIC_NOPAT" localSheetId="11">#REF!</definedName>
    <definedName name="METRIC_NOPAT" localSheetId="3">#REF!</definedName>
    <definedName name="METRIC_NOPAT">#REF!</definedName>
    <definedName name="METRIC_OIL_PRODUCTION_KBD" localSheetId="8">#REF!</definedName>
    <definedName name="METRIC_OIL_PRODUCTION_KBD" localSheetId="9">#REF!</definedName>
    <definedName name="METRIC_OIL_PRODUCTION_KBD" localSheetId="10">#REF!</definedName>
    <definedName name="METRIC_OIL_PRODUCTION_KBD" localSheetId="11">#REF!</definedName>
    <definedName name="METRIC_OIL_PRODUCTION_KBD" localSheetId="3">#REF!</definedName>
    <definedName name="METRIC_OIL_PRODUCTION_KBD">#REF!</definedName>
    <definedName name="METRIC_OIL_PRODUCTION_MBD" localSheetId="8">#REF!</definedName>
    <definedName name="METRIC_OIL_PRODUCTION_MBD" localSheetId="9">#REF!</definedName>
    <definedName name="METRIC_OIL_PRODUCTION_MBD" localSheetId="10">#REF!</definedName>
    <definedName name="METRIC_OIL_PRODUCTION_MBD" localSheetId="11">#REF!</definedName>
    <definedName name="METRIC_OIL_PRODUCTION_MBD" localSheetId="3">#REF!</definedName>
    <definedName name="METRIC_OIL_PRODUCTION_MBD">#REF!</definedName>
    <definedName name="METRIC_OPERATING_PROFIT_ADJ" localSheetId="8">#REF!</definedName>
    <definedName name="METRIC_OPERATING_PROFIT_ADJ" localSheetId="9">#REF!</definedName>
    <definedName name="METRIC_OPERATING_PROFIT_ADJ" localSheetId="10">#REF!</definedName>
    <definedName name="METRIC_OPERATING_PROFIT_ADJ" localSheetId="11">#REF!</definedName>
    <definedName name="METRIC_OPERATING_PROFIT_ADJ" localSheetId="3">#REF!</definedName>
    <definedName name="METRIC_OPERATING_PROFIT_ADJ">#REF!</definedName>
    <definedName name="METRIC_OTHER_LONG_TERM_LIABILITIES" localSheetId="8">#REF!</definedName>
    <definedName name="METRIC_OTHER_LONG_TERM_LIABILITIES" localSheetId="9">#REF!</definedName>
    <definedName name="METRIC_OTHER_LONG_TERM_LIABILITIES" localSheetId="10">#REF!</definedName>
    <definedName name="METRIC_OTHER_LONG_TERM_LIABILITIES" localSheetId="11">#REF!</definedName>
    <definedName name="METRIC_OTHER_LONG_TERM_LIABILITIES" localSheetId="3">#REF!</definedName>
    <definedName name="METRIC_OTHER_LONG_TERM_LIABILITIES">#REF!</definedName>
    <definedName name="METRIC_PAYOUT_RATIO" localSheetId="8">#REF!</definedName>
    <definedName name="METRIC_PAYOUT_RATIO" localSheetId="9">#REF!</definedName>
    <definedName name="METRIC_PAYOUT_RATIO" localSheetId="10">#REF!</definedName>
    <definedName name="METRIC_PAYOUT_RATIO" localSheetId="11">#REF!</definedName>
    <definedName name="METRIC_PAYOUT_RATIO" localSheetId="3">#REF!</definedName>
    <definedName name="METRIC_PAYOUT_RATIO">#REF!</definedName>
    <definedName name="METRIC_PENSION_LIABILITIES" localSheetId="8">#REF!</definedName>
    <definedName name="METRIC_PENSION_LIABILITIES" localSheetId="9">#REF!</definedName>
    <definedName name="METRIC_PENSION_LIABILITIES" localSheetId="10">#REF!</definedName>
    <definedName name="METRIC_PENSION_LIABILITIES" localSheetId="11">#REF!</definedName>
    <definedName name="METRIC_PENSION_LIABILITIES" localSheetId="3">#REF!</definedName>
    <definedName name="METRIC_PENSION_LIABILITIES">#REF!</definedName>
    <definedName name="METRIC_PICF_ADJ" localSheetId="8">#REF!</definedName>
    <definedName name="METRIC_PICF_ADJ" localSheetId="9">#REF!</definedName>
    <definedName name="METRIC_PICF_ADJ" localSheetId="10">#REF!</definedName>
    <definedName name="METRIC_PICF_ADJ" localSheetId="11">#REF!</definedName>
    <definedName name="METRIC_PICF_ADJ" localSheetId="3">#REF!</definedName>
    <definedName name="METRIC_PICF_ADJ">#REF!</definedName>
    <definedName name="METRIC_PRETAX_ADJUSTED_MARGIN" localSheetId="8">#REF!</definedName>
    <definedName name="METRIC_PRETAX_ADJUSTED_MARGIN" localSheetId="9">#REF!</definedName>
    <definedName name="METRIC_PRETAX_ADJUSTED_MARGIN" localSheetId="10">#REF!</definedName>
    <definedName name="METRIC_PRETAX_ADJUSTED_MARGIN" localSheetId="11">#REF!</definedName>
    <definedName name="METRIC_PRETAX_ADJUSTED_MARGIN" localSheetId="3">#REF!</definedName>
    <definedName name="METRIC_PRETAX_ADJUSTED_MARGIN">#REF!</definedName>
    <definedName name="METRIC_PRETAX_INCOME" localSheetId="8">#REF!</definedName>
    <definedName name="METRIC_PRETAX_INCOME" localSheetId="9">#REF!</definedName>
    <definedName name="METRIC_PRETAX_INCOME" localSheetId="10">#REF!</definedName>
    <definedName name="METRIC_PRETAX_INCOME" localSheetId="11">#REF!</definedName>
    <definedName name="METRIC_PRETAX_INCOME" localSheetId="3">#REF!</definedName>
    <definedName name="METRIC_PRETAX_INCOME">#REF!</definedName>
    <definedName name="METRIC_PRETAX_INCOME_ADJUSTED" localSheetId="8">#REF!</definedName>
    <definedName name="METRIC_PRETAX_INCOME_ADJUSTED" localSheetId="9">#REF!</definedName>
    <definedName name="METRIC_PRETAX_INCOME_ADJUSTED" localSheetId="10">#REF!</definedName>
    <definedName name="METRIC_PRETAX_INCOME_ADJUSTED" localSheetId="11">#REF!</definedName>
    <definedName name="METRIC_PRETAX_INCOME_ADJUSTED" localSheetId="3">#REF!</definedName>
    <definedName name="METRIC_PRETAX_INCOME_ADJUSTED">#REF!</definedName>
    <definedName name="METRIC_PRETAX_MARGIN" localSheetId="8">#REF!</definedName>
    <definedName name="METRIC_PRETAX_MARGIN" localSheetId="9">#REF!</definedName>
    <definedName name="METRIC_PRETAX_MARGIN" localSheetId="10">#REF!</definedName>
    <definedName name="METRIC_PRETAX_MARGIN" localSheetId="11">#REF!</definedName>
    <definedName name="METRIC_PRETAX_MARGIN" localSheetId="3">#REF!</definedName>
    <definedName name="METRIC_PRETAX_MARGIN">#REF!</definedName>
    <definedName name="METRIC_PRICE_BV" localSheetId="8">#REF!</definedName>
    <definedName name="METRIC_PRICE_BV" localSheetId="9">#REF!</definedName>
    <definedName name="METRIC_PRICE_BV" localSheetId="10">#REF!</definedName>
    <definedName name="METRIC_PRICE_BV" localSheetId="11">#REF!</definedName>
    <definedName name="METRIC_PRICE_BV" localSheetId="3">#REF!</definedName>
    <definedName name="METRIC_PRICE_BV">#REF!</definedName>
    <definedName name="METRIC_PRICE_TARGET" localSheetId="8">#REF!</definedName>
    <definedName name="METRIC_PRICE_TARGET" localSheetId="9">#REF!</definedName>
    <definedName name="METRIC_PRICE_TARGET" localSheetId="10">#REF!</definedName>
    <definedName name="METRIC_PRICE_TARGET" localSheetId="11">#REF!</definedName>
    <definedName name="METRIC_PRICE_TARGET" localSheetId="3">#REF!</definedName>
    <definedName name="METRIC_PRICE_TARGET">#REF!</definedName>
    <definedName name="METRIC_REFINING_CAPACITY" localSheetId="8">#REF!</definedName>
    <definedName name="METRIC_REFINING_CAPACITY" localSheetId="9">#REF!</definedName>
    <definedName name="METRIC_REFINING_CAPACITY" localSheetId="10">#REF!</definedName>
    <definedName name="METRIC_REFINING_CAPACITY" localSheetId="11">#REF!</definedName>
    <definedName name="METRIC_REFINING_CAPACITY" localSheetId="3">#REF!</definedName>
    <definedName name="METRIC_REFINING_CAPACITY">#REF!</definedName>
    <definedName name="METRIC_REFINING_THROUGHPUT_KBD" localSheetId="8">#REF!</definedName>
    <definedName name="METRIC_REFINING_THROUGHPUT_KBD" localSheetId="9">#REF!</definedName>
    <definedName name="METRIC_REFINING_THROUGHPUT_KBD" localSheetId="10">#REF!</definedName>
    <definedName name="METRIC_REFINING_THROUGHPUT_KBD" localSheetId="11">#REF!</definedName>
    <definedName name="METRIC_REFINING_THROUGHPUT_KBD" localSheetId="3">#REF!</definedName>
    <definedName name="METRIC_REFINING_THROUGHPUT_KBD">#REF!</definedName>
    <definedName name="METRIC_REFINING_THROUGHPUT_MBD" localSheetId="8">#REF!</definedName>
    <definedName name="METRIC_REFINING_THROUGHPUT_MBD" localSheetId="9">#REF!</definedName>
    <definedName name="METRIC_REFINING_THROUGHPUT_MBD" localSheetId="10">#REF!</definedName>
    <definedName name="METRIC_REFINING_THROUGHPUT_MBD" localSheetId="11">#REF!</definedName>
    <definedName name="METRIC_REFINING_THROUGHPUT_MBD" localSheetId="3">#REF!</definedName>
    <definedName name="METRIC_REFINING_THROUGHPUT_MBD">#REF!</definedName>
    <definedName name="METRIC_RESERVE_LIFE_YEARS" localSheetId="8">#REF!</definedName>
    <definedName name="METRIC_RESERVE_LIFE_YEARS" localSheetId="9">#REF!</definedName>
    <definedName name="METRIC_RESERVE_LIFE_YEARS" localSheetId="10">#REF!</definedName>
    <definedName name="METRIC_RESERVE_LIFE_YEARS" localSheetId="11">#REF!</definedName>
    <definedName name="METRIC_RESERVE_LIFE_YEARS" localSheetId="3">#REF!</definedName>
    <definedName name="METRIC_RESERVE_LIFE_YEARS">#REF!</definedName>
    <definedName name="METRIC_RESERVES_MBOE" localSheetId="8">#REF!</definedName>
    <definedName name="METRIC_RESERVES_MBOE" localSheetId="9">#REF!</definedName>
    <definedName name="METRIC_RESERVES_MBOE" localSheetId="10">#REF!</definedName>
    <definedName name="METRIC_RESERVES_MBOE" localSheetId="11">#REF!</definedName>
    <definedName name="METRIC_RESERVES_MBOE" localSheetId="3">#REF!</definedName>
    <definedName name="METRIC_RESERVES_MBOE">#REF!</definedName>
    <definedName name="METRIC_REVENUE" localSheetId="8">#REF!</definedName>
    <definedName name="METRIC_REVENUE" localSheetId="9">#REF!</definedName>
    <definedName name="METRIC_REVENUE" localSheetId="10">#REF!</definedName>
    <definedName name="METRIC_REVENUE" localSheetId="11">#REF!</definedName>
    <definedName name="METRIC_REVENUE" localSheetId="3">#REF!</definedName>
    <definedName name="METRIC_REVENUE">#REF!</definedName>
    <definedName name="METRIC_ROA" localSheetId="8">#REF!</definedName>
    <definedName name="METRIC_ROA" localSheetId="9">#REF!</definedName>
    <definedName name="METRIC_ROA" localSheetId="10">#REF!</definedName>
    <definedName name="METRIC_ROA" localSheetId="11">#REF!</definedName>
    <definedName name="METRIC_ROA" localSheetId="3">#REF!</definedName>
    <definedName name="METRIC_ROA">#REF!</definedName>
    <definedName name="METRIC_ROACE" localSheetId="8">#REF!</definedName>
    <definedName name="METRIC_ROACE" localSheetId="9">#REF!</definedName>
    <definedName name="METRIC_ROACE" localSheetId="10">#REF!</definedName>
    <definedName name="METRIC_ROACE" localSheetId="11">#REF!</definedName>
    <definedName name="METRIC_ROACE" localSheetId="3">#REF!</definedName>
    <definedName name="METRIC_ROACE">#REF!</definedName>
    <definedName name="METRIC_ROAE" localSheetId="8">#REF!</definedName>
    <definedName name="METRIC_ROAE" localSheetId="9">#REF!</definedName>
    <definedName name="METRIC_ROAE" localSheetId="10">#REF!</definedName>
    <definedName name="METRIC_ROAE" localSheetId="11">#REF!</definedName>
    <definedName name="METRIC_ROAE" localSheetId="3">#REF!</definedName>
    <definedName name="METRIC_ROAE">#REF!</definedName>
    <definedName name="METRIC_ROE" localSheetId="8">#REF!</definedName>
    <definedName name="METRIC_ROE" localSheetId="9">#REF!</definedName>
    <definedName name="METRIC_ROE" localSheetId="10">#REF!</definedName>
    <definedName name="METRIC_ROE" localSheetId="11">#REF!</definedName>
    <definedName name="METRIC_ROE" localSheetId="3">#REF!</definedName>
    <definedName name="METRIC_ROE">#REF!</definedName>
    <definedName name="METRIC_ROIC" localSheetId="8">#REF!</definedName>
    <definedName name="METRIC_ROIC" localSheetId="9">#REF!</definedName>
    <definedName name="METRIC_ROIC" localSheetId="10">#REF!</definedName>
    <definedName name="METRIC_ROIC" localSheetId="11">#REF!</definedName>
    <definedName name="METRIC_ROIC" localSheetId="3">#REF!</definedName>
    <definedName name="METRIC_ROIC">#REF!</definedName>
    <definedName name="METRIC_ROMC" localSheetId="8">#REF!</definedName>
    <definedName name="METRIC_ROMC" localSheetId="9">#REF!</definedName>
    <definedName name="METRIC_ROMC" localSheetId="10">#REF!</definedName>
    <definedName name="METRIC_ROMC" localSheetId="11">#REF!</definedName>
    <definedName name="METRIC_ROMC" localSheetId="3">#REF!</definedName>
    <definedName name="METRIC_ROMC">#REF!</definedName>
    <definedName name="METRIC_RRR_PERCENT" localSheetId="8">#REF!</definedName>
    <definedName name="METRIC_RRR_PERCENT" localSheetId="9">#REF!</definedName>
    <definedName name="METRIC_RRR_PERCENT" localSheetId="10">#REF!</definedName>
    <definedName name="METRIC_RRR_PERCENT" localSheetId="11">#REF!</definedName>
    <definedName name="METRIC_RRR_PERCENT" localSheetId="3">#REF!</definedName>
    <definedName name="METRIC_RRR_PERCENT">#REF!</definedName>
    <definedName name="METRIC_SHAREHOLDERS_EQUITY" localSheetId="8">#REF!</definedName>
    <definedName name="METRIC_SHAREHOLDERS_EQUITY" localSheetId="9">#REF!</definedName>
    <definedName name="METRIC_SHAREHOLDERS_EQUITY" localSheetId="10">#REF!</definedName>
    <definedName name="METRIC_SHAREHOLDERS_EQUITY" localSheetId="11">#REF!</definedName>
    <definedName name="METRIC_SHAREHOLDERS_EQUITY" localSheetId="3">#REF!</definedName>
    <definedName name="METRIC_SHAREHOLDERS_EQUITY">#REF!</definedName>
    <definedName name="METRIC_SHORT_AND_LONG_TERM_DEBT" localSheetId="8">#REF!</definedName>
    <definedName name="METRIC_SHORT_AND_LONG_TERM_DEBT" localSheetId="9">#REF!</definedName>
    <definedName name="METRIC_SHORT_AND_LONG_TERM_DEBT" localSheetId="10">#REF!</definedName>
    <definedName name="METRIC_SHORT_AND_LONG_TERM_DEBT" localSheetId="11">#REF!</definedName>
    <definedName name="METRIC_SHORT_AND_LONG_TERM_DEBT" localSheetId="3">#REF!</definedName>
    <definedName name="METRIC_SHORT_AND_LONG_TERM_DEBT">#REF!</definedName>
    <definedName name="METRIC_TANGIBLE_FIXED_ASSETS" localSheetId="8">#REF!</definedName>
    <definedName name="METRIC_TANGIBLE_FIXED_ASSETS" localSheetId="9">#REF!</definedName>
    <definedName name="METRIC_TANGIBLE_FIXED_ASSETS" localSheetId="10">#REF!</definedName>
    <definedName name="METRIC_TANGIBLE_FIXED_ASSETS" localSheetId="11">#REF!</definedName>
    <definedName name="METRIC_TANGIBLE_FIXED_ASSETS" localSheetId="3">#REF!</definedName>
    <definedName name="METRIC_TANGIBLE_FIXED_ASSETS">#REF!</definedName>
    <definedName name="METRIC_TAX_RATE" localSheetId="8">#REF!</definedName>
    <definedName name="METRIC_TAX_RATE" localSheetId="9">#REF!</definedName>
    <definedName name="METRIC_TAX_RATE" localSheetId="10">#REF!</definedName>
    <definedName name="METRIC_TAX_RATE" localSheetId="11">#REF!</definedName>
    <definedName name="METRIC_TAX_RATE" localSheetId="3">#REF!</definedName>
    <definedName name="METRIC_TAX_RATE">#REF!</definedName>
    <definedName name="METRIC_TOTAL_ASSETS" localSheetId="8">#REF!</definedName>
    <definedName name="METRIC_TOTAL_ASSETS" localSheetId="9">#REF!</definedName>
    <definedName name="METRIC_TOTAL_ASSETS" localSheetId="10">#REF!</definedName>
    <definedName name="METRIC_TOTAL_ASSETS" localSheetId="11">#REF!</definedName>
    <definedName name="METRIC_TOTAL_ASSETS" localSheetId="3">#REF!</definedName>
    <definedName name="METRIC_TOTAL_ASSETS">#REF!</definedName>
    <definedName name="METRIC_TOTAL_DEBT" localSheetId="8">#REF!</definedName>
    <definedName name="METRIC_TOTAL_DEBT" localSheetId="9">#REF!</definedName>
    <definedName name="METRIC_TOTAL_DEBT" localSheetId="10">#REF!</definedName>
    <definedName name="METRIC_TOTAL_DEBT" localSheetId="11">#REF!</definedName>
    <definedName name="METRIC_TOTAL_DEBT" localSheetId="3">#REF!</definedName>
    <definedName name="METRIC_TOTAL_DEBT">#REF!</definedName>
    <definedName name="METRIC_TOTAL_LIABILITIES" localSheetId="8">#REF!</definedName>
    <definedName name="METRIC_TOTAL_LIABILITIES" localSheetId="9">#REF!</definedName>
    <definedName name="METRIC_TOTAL_LIABILITIES" localSheetId="10">#REF!</definedName>
    <definedName name="METRIC_TOTAL_LIABILITIES" localSheetId="11">#REF!</definedName>
    <definedName name="METRIC_TOTAL_LIABILITIES" localSheetId="3">#REF!</definedName>
    <definedName name="METRIC_TOTAL_LIABILITIES">#REF!</definedName>
    <definedName name="METRIC_TOTAL_PRODUCTION_KBD" localSheetId="8">#REF!</definedName>
    <definedName name="METRIC_TOTAL_PRODUCTION_KBD" localSheetId="9">#REF!</definedName>
    <definedName name="METRIC_TOTAL_PRODUCTION_KBD" localSheetId="10">#REF!</definedName>
    <definedName name="METRIC_TOTAL_PRODUCTION_KBD" localSheetId="11">#REF!</definedName>
    <definedName name="METRIC_TOTAL_PRODUCTION_KBD" localSheetId="3">#REF!</definedName>
    <definedName name="METRIC_TOTAL_PRODUCTION_KBD">#REF!</definedName>
    <definedName name="METRIC_TOTAL_PRODUCTION_MBOED" localSheetId="8">#REF!</definedName>
    <definedName name="METRIC_TOTAL_PRODUCTION_MBOED" localSheetId="9">#REF!</definedName>
    <definedName name="METRIC_TOTAL_PRODUCTION_MBOED" localSheetId="10">#REF!</definedName>
    <definedName name="METRIC_TOTAL_PRODUCTION_MBOED" localSheetId="11">#REF!</definedName>
    <definedName name="METRIC_TOTAL_PRODUCTION_MBOED" localSheetId="3">#REF!</definedName>
    <definedName name="METRIC_TOTAL_PRODUCTION_MBOED">#REF!</definedName>
    <definedName name="METRIC_UPSIDE_CASE" localSheetId="8">#REF!</definedName>
    <definedName name="METRIC_UPSIDE_CASE" localSheetId="9">#REF!</definedName>
    <definedName name="METRIC_UPSIDE_CASE" localSheetId="10">#REF!</definedName>
    <definedName name="METRIC_UPSIDE_CASE" localSheetId="11">#REF!</definedName>
    <definedName name="METRIC_UPSIDE_CASE" localSheetId="3">#REF!</definedName>
    <definedName name="METRIC_UPSIDE_CASE">#REF!</definedName>
    <definedName name="Million">[2]InputC_LCCP!$F$2336</definedName>
    <definedName name="Months_in_a_year">[2]InputC_LCCP!$F$2333</definedName>
    <definedName name="PERIOD_EPS_2010FY" localSheetId="8">#REF!</definedName>
    <definedName name="PERIOD_EPS_2010FY" localSheetId="9">#REF!</definedName>
    <definedName name="PERIOD_EPS_2010FY" localSheetId="10">#REF!</definedName>
    <definedName name="PERIOD_EPS_2010FY" localSheetId="11">#REF!</definedName>
    <definedName name="PERIOD_EPS_2010FY" localSheetId="3">#REF!</definedName>
    <definedName name="PERIOD_EPS_2010FY">#REF!</definedName>
    <definedName name="PERIOD_EPS_2011FY" localSheetId="8">#REF!</definedName>
    <definedName name="PERIOD_EPS_2011FY" localSheetId="9">#REF!</definedName>
    <definedName name="PERIOD_EPS_2011FY" localSheetId="10">#REF!</definedName>
    <definedName name="PERIOD_EPS_2011FY" localSheetId="11">#REF!</definedName>
    <definedName name="PERIOD_EPS_2011FY" localSheetId="3">#REF!</definedName>
    <definedName name="PERIOD_EPS_2011FY">#REF!</definedName>
    <definedName name="PERIOD_EPS_2012FY" localSheetId="8">#REF!</definedName>
    <definedName name="PERIOD_EPS_2012FY" localSheetId="9">#REF!</definedName>
    <definedName name="PERIOD_EPS_2012FY" localSheetId="10">#REF!</definedName>
    <definedName name="PERIOD_EPS_2012FY" localSheetId="11">#REF!</definedName>
    <definedName name="PERIOD_EPS_2012FY" localSheetId="3">#REF!</definedName>
    <definedName name="PERIOD_EPS_2012FY">#REF!</definedName>
    <definedName name="PERIOD_EPS_2013FY" localSheetId="8">#REF!</definedName>
    <definedName name="PERIOD_EPS_2013FY" localSheetId="9">#REF!</definedName>
    <definedName name="PERIOD_EPS_2013FY" localSheetId="10">#REF!</definedName>
    <definedName name="PERIOD_EPS_2013FY" localSheetId="11">#REF!</definedName>
    <definedName name="PERIOD_EPS_2013FY" localSheetId="3">#REF!</definedName>
    <definedName name="PERIOD_EPS_2013FY">#REF!</definedName>
    <definedName name="PERIOD_EPS_2014FY" localSheetId="8">#REF!</definedName>
    <definedName name="PERIOD_EPS_2014FY" localSheetId="9">#REF!</definedName>
    <definedName name="PERIOD_EPS_2014FY" localSheetId="10">#REF!</definedName>
    <definedName name="PERIOD_EPS_2014FY" localSheetId="11">#REF!</definedName>
    <definedName name="PERIOD_EPS_2014FY" localSheetId="3">#REF!</definedName>
    <definedName name="PERIOD_EPS_2014FY">#REF!</definedName>
    <definedName name="PERIOD_Fairvalueanalysis_2011FY" localSheetId="8">#REF!</definedName>
    <definedName name="PERIOD_Fairvalueanalysis_2011FY" localSheetId="9">#REF!</definedName>
    <definedName name="PERIOD_Fairvalueanalysis_2011FY" localSheetId="10">#REF!</definedName>
    <definedName name="PERIOD_Fairvalueanalysis_2011FY" localSheetId="11">#REF!</definedName>
    <definedName name="PERIOD_Fairvalueanalysis_2011FY" localSheetId="3">#REF!</definedName>
    <definedName name="PERIOD_Fairvalueanalysis_2011FY">#REF!</definedName>
    <definedName name="PERIOD_Tagmodel_2010FY" localSheetId="8">#REF!</definedName>
    <definedName name="PERIOD_Tagmodel_2010FY" localSheetId="9">#REF!</definedName>
    <definedName name="PERIOD_Tagmodel_2010FY" localSheetId="10">#REF!</definedName>
    <definedName name="PERIOD_Tagmodel_2010FY" localSheetId="11">#REF!</definedName>
    <definedName name="PERIOD_Tagmodel_2010FY" localSheetId="3">#REF!</definedName>
    <definedName name="PERIOD_Tagmodel_2010FY">#REF!</definedName>
    <definedName name="PERIOD_Tagmodel_2011FY" localSheetId="8">#REF!</definedName>
    <definedName name="PERIOD_Tagmodel_2011FY" localSheetId="9">#REF!</definedName>
    <definedName name="PERIOD_Tagmodel_2011FY" localSheetId="10">#REF!</definedName>
    <definedName name="PERIOD_Tagmodel_2011FY" localSheetId="11">#REF!</definedName>
    <definedName name="PERIOD_Tagmodel_2011FY" localSheetId="3">#REF!</definedName>
    <definedName name="PERIOD_Tagmodel_2011FY">#REF!</definedName>
    <definedName name="PERIOD_Tagmodel_2011H1" localSheetId="8">#REF!</definedName>
    <definedName name="PERIOD_Tagmodel_2011H1" localSheetId="9">#REF!</definedName>
    <definedName name="PERIOD_Tagmodel_2011H1" localSheetId="10">#REF!</definedName>
    <definedName name="PERIOD_Tagmodel_2011H1" localSheetId="11">#REF!</definedName>
    <definedName name="PERIOD_Tagmodel_2011H1" localSheetId="3">#REF!</definedName>
    <definedName name="PERIOD_Tagmodel_2011H1">#REF!</definedName>
    <definedName name="PERIOD_Tagmodel_2011H2" localSheetId="8">#REF!</definedName>
    <definedName name="PERIOD_Tagmodel_2011H2" localSheetId="9">#REF!</definedName>
    <definedName name="PERIOD_Tagmodel_2011H2" localSheetId="10">#REF!</definedName>
    <definedName name="PERIOD_Tagmodel_2011H2" localSheetId="11">#REF!</definedName>
    <definedName name="PERIOD_Tagmodel_2011H2" localSheetId="3">#REF!</definedName>
    <definedName name="PERIOD_Tagmodel_2011H2">#REF!</definedName>
    <definedName name="PERIOD_Tagmodel_2012FY" localSheetId="8">#REF!</definedName>
    <definedName name="PERIOD_Tagmodel_2012FY" localSheetId="9">#REF!</definedName>
    <definedName name="PERIOD_Tagmodel_2012FY" localSheetId="10">#REF!</definedName>
    <definedName name="PERIOD_Tagmodel_2012FY" localSheetId="11">#REF!</definedName>
    <definedName name="PERIOD_Tagmodel_2012FY" localSheetId="3">#REF!</definedName>
    <definedName name="PERIOD_Tagmodel_2012FY">#REF!</definedName>
    <definedName name="PERIOD_Tagmodel_2012H1" localSheetId="8">#REF!</definedName>
    <definedName name="PERIOD_Tagmodel_2012H1" localSheetId="9">#REF!</definedName>
    <definedName name="PERIOD_Tagmodel_2012H1" localSheetId="10">#REF!</definedName>
    <definedName name="PERIOD_Tagmodel_2012H1" localSheetId="11">#REF!</definedName>
    <definedName name="PERIOD_Tagmodel_2012H1" localSheetId="3">#REF!</definedName>
    <definedName name="PERIOD_Tagmodel_2012H1">#REF!</definedName>
    <definedName name="PERIOD_Tagmodel_2012H2" localSheetId="8">#REF!</definedName>
    <definedName name="PERIOD_Tagmodel_2012H2" localSheetId="9">#REF!</definedName>
    <definedName name="PERIOD_Tagmodel_2012H2" localSheetId="10">#REF!</definedName>
    <definedName name="PERIOD_Tagmodel_2012H2" localSheetId="11">#REF!</definedName>
    <definedName name="PERIOD_Tagmodel_2012H2" localSheetId="3">#REF!</definedName>
    <definedName name="PERIOD_Tagmodel_2012H2">#REF!</definedName>
    <definedName name="PERIOD_Tagmodel_2013FY" localSheetId="8">#REF!</definedName>
    <definedName name="PERIOD_Tagmodel_2013FY" localSheetId="9">#REF!</definedName>
    <definedName name="PERIOD_Tagmodel_2013FY" localSheetId="10">#REF!</definedName>
    <definedName name="PERIOD_Tagmodel_2013FY" localSheetId="11">#REF!</definedName>
    <definedName name="PERIOD_Tagmodel_2013FY" localSheetId="3">#REF!</definedName>
    <definedName name="PERIOD_Tagmodel_2013FY">#REF!</definedName>
    <definedName name="PERIOD_Tagmodel_2013H1" localSheetId="8">#REF!</definedName>
    <definedName name="PERIOD_Tagmodel_2013H1" localSheetId="9">#REF!</definedName>
    <definedName name="PERIOD_Tagmodel_2013H1" localSheetId="10">#REF!</definedName>
    <definedName name="PERIOD_Tagmodel_2013H1" localSheetId="11">#REF!</definedName>
    <definedName name="PERIOD_Tagmodel_2013H1" localSheetId="3">#REF!</definedName>
    <definedName name="PERIOD_Tagmodel_2013H1">#REF!</definedName>
    <definedName name="PERIOD_Tagmodel_2013H2" localSheetId="8">#REF!</definedName>
    <definedName name="PERIOD_Tagmodel_2013H2" localSheetId="9">#REF!</definedName>
    <definedName name="PERIOD_Tagmodel_2013H2" localSheetId="10">#REF!</definedName>
    <definedName name="PERIOD_Tagmodel_2013H2" localSheetId="11">#REF!</definedName>
    <definedName name="PERIOD_Tagmodel_2013H2" localSheetId="3">#REF!</definedName>
    <definedName name="PERIOD_Tagmodel_2013H2">#REF!</definedName>
    <definedName name="PERIOD_Tagmodel_2014FY" localSheetId="8">#REF!</definedName>
    <definedName name="PERIOD_Tagmodel_2014FY" localSheetId="9">#REF!</definedName>
    <definedName name="PERIOD_Tagmodel_2014FY" localSheetId="10">#REF!</definedName>
    <definedName name="PERIOD_Tagmodel_2014FY" localSheetId="11">#REF!</definedName>
    <definedName name="PERIOD_Tagmodel_2014FY" localSheetId="3">#REF!</definedName>
    <definedName name="PERIOD_Tagmodel_2014FY">#REF!</definedName>
    <definedName name="PERIOD_Tagmodel_2014H1" localSheetId="8">#REF!</definedName>
    <definedName name="PERIOD_Tagmodel_2014H1" localSheetId="9">#REF!</definedName>
    <definedName name="PERIOD_Tagmodel_2014H1" localSheetId="10">#REF!</definedName>
    <definedName name="PERIOD_Tagmodel_2014H1" localSheetId="11">#REF!</definedName>
    <definedName name="PERIOD_Tagmodel_2014H1" localSheetId="3">#REF!</definedName>
    <definedName name="PERIOD_Tagmodel_2014H1">#REF!</definedName>
    <definedName name="PERIOD_Tagmodel_2014H2" localSheetId="8">#REF!</definedName>
    <definedName name="PERIOD_Tagmodel_2014H2" localSheetId="9">#REF!</definedName>
    <definedName name="PERIOD_Tagmodel_2014H2" localSheetId="10">#REF!</definedName>
    <definedName name="PERIOD_Tagmodel_2014H2" localSheetId="11">#REF!</definedName>
    <definedName name="PERIOD_Tagmodel_2014H2" localSheetId="3">#REF!</definedName>
    <definedName name="PERIOD_Tagmodel_2014H2">#REF!</definedName>
    <definedName name="PERIOD_Tagmodel_2015FY" localSheetId="8">#REF!</definedName>
    <definedName name="PERIOD_Tagmodel_2015FY" localSheetId="9">#REF!</definedName>
    <definedName name="PERIOD_Tagmodel_2015FY" localSheetId="10">#REF!</definedName>
    <definedName name="PERIOD_Tagmodel_2015FY" localSheetId="11">#REF!</definedName>
    <definedName name="PERIOD_Tagmodel_2015FY" localSheetId="3">#REF!</definedName>
    <definedName name="PERIOD_Tagmodel_2015FY">#REF!</definedName>
    <definedName name="PERIOD_Tagmodel_2015H1" localSheetId="8">#REF!</definedName>
    <definedName name="PERIOD_Tagmodel_2015H1" localSheetId="9">#REF!</definedName>
    <definedName name="PERIOD_Tagmodel_2015H1" localSheetId="10">#REF!</definedName>
    <definedName name="PERIOD_Tagmodel_2015H1" localSheetId="11">#REF!</definedName>
    <definedName name="PERIOD_Tagmodel_2015H1" localSheetId="3">#REF!</definedName>
    <definedName name="PERIOD_Tagmodel_2015H1">#REF!</definedName>
    <definedName name="PERIOD_Tagmodel_2015H2" localSheetId="8">#REF!</definedName>
    <definedName name="PERIOD_Tagmodel_2015H2" localSheetId="9">#REF!</definedName>
    <definedName name="PERIOD_Tagmodel_2015H2" localSheetId="10">#REF!</definedName>
    <definedName name="PERIOD_Tagmodel_2015H2" localSheetId="11">#REF!</definedName>
    <definedName name="PERIOD_Tagmodel_2015H2" localSheetId="3">#REF!</definedName>
    <definedName name="PERIOD_Tagmodel_2015H2">#REF!</definedName>
    <definedName name="PERIOD_Tagmodel_2016FY" localSheetId="8">#REF!</definedName>
    <definedName name="PERIOD_Tagmodel_2016FY" localSheetId="9">#REF!</definedName>
    <definedName name="PERIOD_Tagmodel_2016FY" localSheetId="10">#REF!</definedName>
    <definedName name="PERIOD_Tagmodel_2016FY" localSheetId="11">#REF!</definedName>
    <definedName name="PERIOD_Tagmodel_2016FY" localSheetId="3">#REF!</definedName>
    <definedName name="PERIOD_Tagmodel_2016FY">#REF!</definedName>
    <definedName name="PERIOD_Tagmodel_2016H1" localSheetId="8">#REF!</definedName>
    <definedName name="PERIOD_Tagmodel_2016H1" localSheetId="9">#REF!</definedName>
    <definedName name="PERIOD_Tagmodel_2016H1" localSheetId="10">#REF!</definedName>
    <definedName name="PERIOD_Tagmodel_2016H1" localSheetId="11">#REF!</definedName>
    <definedName name="PERIOD_Tagmodel_2016H1" localSheetId="3">#REF!</definedName>
    <definedName name="PERIOD_Tagmodel_2016H1">#REF!</definedName>
    <definedName name="PERIOD_Tagmodel_2016H2" localSheetId="8">#REF!</definedName>
    <definedName name="PERIOD_Tagmodel_2016H2" localSheetId="9">#REF!</definedName>
    <definedName name="PERIOD_Tagmodel_2016H2" localSheetId="10">#REF!</definedName>
    <definedName name="PERIOD_Tagmodel_2016H2" localSheetId="11">#REF!</definedName>
    <definedName name="PERIOD_Tagmodel_2016H2" localSheetId="3">#REF!</definedName>
    <definedName name="PERIOD_Tagmodel_2016H2">#REF!</definedName>
    <definedName name="PERIOD_Tagmodel_2017FY" localSheetId="8">#REF!</definedName>
    <definedName name="PERIOD_Tagmodel_2017FY" localSheetId="9">#REF!</definedName>
    <definedName name="PERIOD_Tagmodel_2017FY" localSheetId="10">#REF!</definedName>
    <definedName name="PERIOD_Tagmodel_2017FY" localSheetId="11">#REF!</definedName>
    <definedName name="PERIOD_Tagmodel_2017FY" localSheetId="3">#REF!</definedName>
    <definedName name="PERIOD_Tagmodel_2017FY">#REF!</definedName>
    <definedName name="PERIOD_Tagmodel_2017H1" localSheetId="8">#REF!</definedName>
    <definedName name="PERIOD_Tagmodel_2017H1" localSheetId="9">#REF!</definedName>
    <definedName name="PERIOD_Tagmodel_2017H1" localSheetId="10">#REF!</definedName>
    <definedName name="PERIOD_Tagmodel_2017H1" localSheetId="11">#REF!</definedName>
    <definedName name="PERIOD_Tagmodel_2017H1" localSheetId="3">#REF!</definedName>
    <definedName name="PERIOD_Tagmodel_2017H1">#REF!</definedName>
    <definedName name="PERIOD_Tagmodel_2017H2" localSheetId="8">#REF!</definedName>
    <definedName name="PERIOD_Tagmodel_2017H2" localSheetId="9">#REF!</definedName>
    <definedName name="PERIOD_Tagmodel_2017H2" localSheetId="10">#REF!</definedName>
    <definedName name="PERIOD_Tagmodel_2017H2" localSheetId="11">#REF!</definedName>
    <definedName name="PERIOD_Tagmodel_2017H2" localSheetId="3">#REF!</definedName>
    <definedName name="PERIOD_Tagmodel_2017H2">#REF!</definedName>
    <definedName name="PERIOD_Tagmodel_2018FY" localSheetId="8">#REF!</definedName>
    <definedName name="PERIOD_Tagmodel_2018FY" localSheetId="9">#REF!</definedName>
    <definedName name="PERIOD_Tagmodel_2018FY" localSheetId="10">#REF!</definedName>
    <definedName name="PERIOD_Tagmodel_2018FY" localSheetId="11">#REF!</definedName>
    <definedName name="PERIOD_Tagmodel_2018FY" localSheetId="3">#REF!</definedName>
    <definedName name="PERIOD_Tagmodel_2018FY">#REF!</definedName>
    <definedName name="Polymer_Sensitivity__US__ton">'[2]Steering Wheel'!$F$54</definedName>
    <definedName name="Pounds_in_a_ton">[2]InputC_LCCP!$F$2341</definedName>
    <definedName name="pppp" hidden="1">{#N/A,#N/A,FALSE,"ASSUM"}</definedName>
    <definedName name="pppp1" hidden="1">{#N/A,#N/A,FALSE,"ASSUM"}</definedName>
    <definedName name="_xlnm.Print_Area" localSheetId="2">Assumptions!$A$1:$F$55</definedName>
    <definedName name="_xlnm.Print_Area" localSheetId="8">Chem!$A$1:$E$43</definedName>
    <definedName name="_xlnm.Print_Area" localSheetId="9">'Chemicals Africa'!$A$1:$E$138</definedName>
    <definedName name="_xlnm.Print_Area" localSheetId="10">'Chemicals America'!$A$1:$E$134</definedName>
    <definedName name="_xlnm.Print_Area" localSheetId="11">'Chemicals Eurasia'!$A$1:$E$128</definedName>
    <definedName name="_xlnm.Print_Area" localSheetId="12">Corp!$A$1:$E$54</definedName>
    <definedName name="_xlnm.Print_Area" localSheetId="3">Depr!$A$1:$E$20</definedName>
    <definedName name="_xlnm.Print_Area" localSheetId="0">Disclaimer!$A$1:$O$15</definedName>
    <definedName name="_xlnm.Print_Area" localSheetId="4">Financials!$A$1:$E$142</definedName>
    <definedName name="_xlnm.Print_Area" localSheetId="7">Fuels!$A$1:$E$247</definedName>
    <definedName name="_xlnm.Print_Area" localSheetId="6">Gas!$A$1:$F$182</definedName>
    <definedName name="_xlnm.Print_Area" localSheetId="13">Interco!$A$1:$E$38</definedName>
    <definedName name="_xlnm.Print_Area" localSheetId="1">Legend!$A$1:$E$31</definedName>
    <definedName name="_xlnm.Print_Area" localSheetId="5">Mining!$A$1:$E$124</definedName>
    <definedName name="Reference_date_for_the_forward_looking_eocnomics">'[2]Steering Wheel'!$F$14</definedName>
    <definedName name="SAPBEXrevision" hidden="1">3</definedName>
    <definedName name="SAPBEXsysID" hidden="1">"PB1"</definedName>
    <definedName name="SAPBEXwbID" hidden="1">"D9ZI99RB3AU3YURT2HNP60FK0"</definedName>
    <definedName name="sastech" hidden="1">{#N/A,#N/A,FALSE,"ASSUM"}</definedName>
    <definedName name="sencount" hidden="1">1</definedName>
    <definedName name="sheet7" hidden="1">{#N/A,#N/A,FALSE,"K_DRIV"}</definedName>
    <definedName name="Thousand">[2]InputC_LCCP!$F$2335</definedName>
    <definedName name="Treat_UO_I_as_landlord">'[2]Steering Wheel'!$F$62</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_Cents_in_a_dollar">[2]InputC_LCCP!$F$2340</definedName>
    <definedName name="USE_Actual_GEMINI_production_capacity">'[2]Steering Wheel'!$F$18</definedName>
    <definedName name="Use_impairment_WACC">'[2]Steering Wheel'!$F$46</definedName>
    <definedName name="Use_latest_AMT">'[2]Steering Wheel'!$F$44</definedName>
    <definedName name="Use_latest_BC_ramp_up">'[2]Steering Wheel'!$F$22</definedName>
    <definedName name="Use_latest_BC_sales_plan">'[2]Steering Wheel'!$F$39</definedName>
    <definedName name="Use_latest_capital">'[2]Steering Wheel'!$F$41</definedName>
    <definedName name="Use_latest_CIT">'[2]Steering Wheel'!$F$42</definedName>
    <definedName name="Use_latest_DPAD">'[2]Steering Wheel'!$F$43</definedName>
    <definedName name="Use_latest_group_prices">'[2]Steering Wheel'!$F$24</definedName>
    <definedName name="Use_latest_LDPE_premium">'[2]Steering Wheel'!$F$30</definedName>
    <definedName name="Use_latest_other_PC_forecast">'[2]Steering Wheel'!$F$34</definedName>
    <definedName name="Use_latest_PC_sales_plan" localSheetId="8">'[2]Steering Wheel'!#REF!</definedName>
    <definedName name="Use_latest_PC_sales_plan" localSheetId="9">'[2]Steering Wheel'!#REF!</definedName>
    <definedName name="Use_latest_PC_sales_plan" localSheetId="10">'[2]Steering Wheel'!#REF!</definedName>
    <definedName name="Use_latest_PC_sales_plan" localSheetId="11">'[2]Steering Wheel'!#REF!</definedName>
    <definedName name="Use_latest_PC_sales_plan" localSheetId="3">'[2]Steering Wheel'!#REF!</definedName>
    <definedName name="Use_latest_PC_sales_plan">'[2]Steering Wheel'!#REF!</definedName>
    <definedName name="Use_latest_schedule">'[2]Steering Wheel'!$F$21</definedName>
    <definedName name="Use_SOPS_Prices">'[2]Steering Wheel'!$F$17</definedName>
    <definedName name="USE_SOPS_sales_volumes">'[2]Steering Wheel'!$F$16</definedName>
    <definedName name="wrn.2.1.1.0_EVA_._.Realistic_Case." hidden="1">{#N/A,#N/A,FALSE,"EVA_RC"}</definedName>
    <definedName name="wrn.2.1.1.0_eva_._.Realistic_case1" hidden="1">{#N/A,#N/A,FALSE,"EVA_RC"}</definedName>
    <definedName name="wrn.2.1.2.0_EVA_Strategic_Case." hidden="1">{#N/A,#N/A,FALSE,"EVA_SC"}</definedName>
    <definedName name="wrn.2.1.3.1_Assumptions." hidden="1">{#N/A,#N/A,FALSE,"ASSUM"}</definedName>
    <definedName name="wrn.2.1.3.1_BU_Key_Drivers." hidden="1">{#N/A,#N/A,FALSE,"K_DRIV"}</definedName>
    <definedName name="xx" hidden="1">{#N/A,#N/A,FALSE,"K_DRIV"}</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7" i="7" l="1"/>
  <c r="E86" i="7"/>
  <c r="E85" i="7"/>
  <c r="E60" i="37" l="1"/>
  <c r="D60" i="37"/>
  <c r="D60" i="38"/>
  <c r="E60" i="38"/>
  <c r="E59" i="35"/>
  <c r="D59" i="35"/>
  <c r="E137" i="7"/>
  <c r="D137" i="7"/>
  <c r="E97" i="4" l="1"/>
  <c r="E86" i="4" s="1"/>
  <c r="D97" i="4"/>
  <c r="D86" i="4" s="1"/>
  <c r="E153" i="7"/>
  <c r="D153" i="7"/>
  <c r="D147" i="7" s="1"/>
  <c r="D142" i="8"/>
  <c r="E155" i="8"/>
  <c r="D155" i="8"/>
  <c r="D52" i="37"/>
  <c r="E52" i="37"/>
  <c r="C52" i="37"/>
  <c r="B52" i="37"/>
  <c r="E100" i="37"/>
  <c r="E92" i="37" s="1"/>
  <c r="D100" i="37"/>
  <c r="D92" i="37" s="1"/>
  <c r="D106" i="38"/>
  <c r="D95" i="38" s="1"/>
  <c r="E106" i="38"/>
  <c r="E111" i="35"/>
  <c r="E98" i="35" s="1"/>
  <c r="D111" i="35"/>
  <c r="D98" i="35" s="1"/>
  <c r="D91" i="38"/>
  <c r="E91" i="38"/>
  <c r="E162" i="7"/>
  <c r="D162" i="7"/>
  <c r="C162" i="7"/>
  <c r="E11" i="12"/>
  <c r="E11" i="7"/>
  <c r="F30" i="6"/>
  <c r="E30" i="6"/>
  <c r="E156" i="8" l="1"/>
  <c r="E142" i="8"/>
  <c r="D102" i="37"/>
  <c r="E102" i="37"/>
  <c r="E107" i="38"/>
  <c r="E95" i="38"/>
  <c r="E112" i="35"/>
  <c r="E98" i="4"/>
  <c r="B85" i="7" l="1"/>
  <c r="B2" i="39"/>
  <c r="B1" i="39"/>
  <c r="E88" i="7" l="1"/>
  <c r="E78" i="13"/>
  <c r="D78" i="13"/>
  <c r="E76" i="13"/>
  <c r="D76" i="13"/>
  <c r="E75" i="13"/>
  <c r="D75" i="13"/>
  <c r="E72" i="13"/>
  <c r="D72" i="13"/>
  <c r="E68" i="13"/>
  <c r="D68" i="13"/>
  <c r="E67" i="13"/>
  <c r="D67" i="13"/>
  <c r="E65" i="13"/>
  <c r="D65" i="13"/>
  <c r="E64" i="13"/>
  <c r="D64" i="13"/>
  <c r="E63" i="13"/>
  <c r="D63" i="13"/>
  <c r="E62" i="13"/>
  <c r="D62" i="13"/>
  <c r="E61" i="13"/>
  <c r="D61" i="13"/>
  <c r="E60" i="13"/>
  <c r="D60" i="13"/>
  <c r="E56" i="13"/>
  <c r="E54" i="13"/>
  <c r="E52" i="13"/>
  <c r="E51" i="13"/>
  <c r="D56" i="13"/>
  <c r="D54" i="13"/>
  <c r="D52" i="13"/>
  <c r="D51" i="13"/>
  <c r="E49" i="13"/>
  <c r="D49" i="13"/>
  <c r="E47" i="13"/>
  <c r="E46" i="13"/>
  <c r="D47" i="13"/>
  <c r="D46" i="13"/>
  <c r="E44" i="13"/>
  <c r="D44" i="13"/>
  <c r="E19" i="13"/>
  <c r="D20" i="13"/>
  <c r="D19" i="13"/>
  <c r="E23" i="12" l="1"/>
  <c r="E23" i="37"/>
  <c r="E23" i="35"/>
  <c r="E23" i="8"/>
  <c r="E23" i="7"/>
  <c r="E11" i="4"/>
  <c r="D23" i="12"/>
  <c r="D23" i="37"/>
  <c r="D23" i="38"/>
  <c r="D23" i="35"/>
  <c r="D23" i="8"/>
  <c r="D23" i="7"/>
  <c r="E55" i="13" l="1"/>
  <c r="D55" i="13"/>
  <c r="E9" i="8"/>
  <c r="E41" i="36"/>
  <c r="E40" i="36"/>
  <c r="E39" i="36"/>
  <c r="E38" i="36"/>
  <c r="E13" i="26" l="1"/>
  <c r="E12" i="26"/>
  <c r="E11" i="26"/>
  <c r="E10" i="26"/>
  <c r="E9" i="26"/>
  <c r="E8" i="26"/>
  <c r="E7" i="26"/>
  <c r="D13" i="26"/>
  <c r="D12" i="26"/>
  <c r="D11" i="26"/>
  <c r="D10" i="26"/>
  <c r="B13" i="26"/>
  <c r="B12" i="26"/>
  <c r="B11" i="26"/>
  <c r="B10" i="26"/>
  <c r="B9" i="26"/>
  <c r="B8" i="26"/>
  <c r="B7" i="26"/>
  <c r="E14" i="26" l="1"/>
  <c r="E69" i="13" l="1"/>
  <c r="E66" i="13"/>
  <c r="E140" i="13"/>
  <c r="E139" i="13"/>
  <c r="E138" i="13"/>
  <c r="E137" i="13"/>
  <c r="E136" i="13"/>
  <c r="E135" i="13"/>
  <c r="E134" i="13"/>
  <c r="E15" i="26"/>
  <c r="E11" i="37"/>
  <c r="E11" i="38"/>
  <c r="E11" i="35"/>
  <c r="E37" i="13" l="1"/>
  <c r="E35" i="13"/>
  <c r="E33" i="13"/>
  <c r="E31" i="13"/>
  <c r="E141" i="13"/>
  <c r="E11" i="8"/>
  <c r="E43" i="13" s="1"/>
  <c r="E140" i="7"/>
  <c r="E141" i="7" s="1"/>
  <c r="E53" i="4"/>
  <c r="D53" i="4"/>
  <c r="E27" i="13" l="1"/>
  <c r="E25" i="13"/>
  <c r="E23" i="13"/>
  <c r="E41" i="13" l="1"/>
  <c r="E45" i="13"/>
  <c r="E48" i="13" s="1"/>
  <c r="E50" i="13" s="1"/>
  <c r="D139" i="13" l="1"/>
  <c r="B139" i="13"/>
  <c r="D138" i="13"/>
  <c r="B138" i="13"/>
  <c r="B137" i="13"/>
  <c r="D137" i="13"/>
  <c r="D11" i="8"/>
  <c r="B35" i="13"/>
  <c r="B33" i="13"/>
  <c r="E11" i="13"/>
  <c r="B14" i="13"/>
  <c r="B13" i="13"/>
  <c r="B12" i="13"/>
  <c r="B31" i="13"/>
  <c r="D11" i="12"/>
  <c r="E7" i="12"/>
  <c r="E15" i="13" s="1"/>
  <c r="E38" i="13" s="1"/>
  <c r="E13" i="12"/>
  <c r="E16" i="12" s="1"/>
  <c r="E18" i="12" s="1"/>
  <c r="E21" i="12"/>
  <c r="E34" i="12"/>
  <c r="E37" i="12"/>
  <c r="E51" i="12"/>
  <c r="E52" i="12"/>
  <c r="D11" i="35"/>
  <c r="D11" i="37"/>
  <c r="D11" i="38"/>
  <c r="D21" i="8"/>
  <c r="D35" i="13" l="1"/>
  <c r="D33" i="13"/>
  <c r="D31" i="13"/>
  <c r="D17" i="26"/>
  <c r="E39" i="13"/>
  <c r="E17" i="26"/>
  <c r="E53" i="12"/>
  <c r="E25" i="12"/>
  <c r="D11" i="7"/>
  <c r="E96" i="7"/>
  <c r="E95" i="7"/>
  <c r="B93" i="7"/>
  <c r="B92" i="7"/>
  <c r="E93" i="7"/>
  <c r="E92" i="7"/>
  <c r="B105" i="7"/>
  <c r="E104" i="7"/>
  <c r="B104" i="7"/>
  <c r="E91" i="7" l="1"/>
  <c r="E97" i="7"/>
  <c r="E94" i="7" s="1"/>
  <c r="E98" i="7" s="1"/>
  <c r="F35" i="6"/>
  <c r="E102" i="7"/>
  <c r="E106" i="7"/>
  <c r="E107" i="7" s="1"/>
  <c r="E103" i="7" l="1"/>
  <c r="E108" i="7" s="1"/>
  <c r="E113" i="7"/>
  <c r="E72" i="38"/>
  <c r="D7" i="38"/>
  <c r="E13" i="38"/>
  <c r="E16" i="38" s="1"/>
  <c r="E18" i="38" s="1"/>
  <c r="E128" i="38" s="1"/>
  <c r="E7" i="38"/>
  <c r="E100" i="38" s="1"/>
  <c r="E94" i="38" s="1"/>
  <c r="E129" i="38"/>
  <c r="D129" i="38"/>
  <c r="E117" i="38"/>
  <c r="E88" i="38"/>
  <c r="E85" i="38"/>
  <c r="D85" i="38"/>
  <c r="E52" i="38"/>
  <c r="D52" i="38"/>
  <c r="E51" i="38"/>
  <c r="E108" i="38" s="1"/>
  <c r="D51" i="38"/>
  <c r="D108" i="38" s="1"/>
  <c r="C51" i="38"/>
  <c r="B51" i="38"/>
  <c r="E37" i="38"/>
  <c r="D37" i="38"/>
  <c r="E34" i="38"/>
  <c r="D34" i="38"/>
  <c r="E21" i="38"/>
  <c r="D21" i="38"/>
  <c r="D13" i="38"/>
  <c r="D16" i="38" s="1"/>
  <c r="D18" i="38" s="1"/>
  <c r="B2" i="38"/>
  <c r="B1" i="38"/>
  <c r="D13" i="13" l="1"/>
  <c r="D100" i="38"/>
  <c r="D94" i="38" s="1"/>
  <c r="E109" i="38"/>
  <c r="E62" i="38"/>
  <c r="E63" i="38" s="1"/>
  <c r="E102" i="38"/>
  <c r="E101" i="38" s="1"/>
  <c r="E103" i="38" s="1"/>
  <c r="D62" i="38"/>
  <c r="D63" i="38" s="1"/>
  <c r="D102" i="38"/>
  <c r="D101" i="38" s="1"/>
  <c r="E13" i="13"/>
  <c r="E34" i="13" s="1"/>
  <c r="E78" i="38"/>
  <c r="D132" i="38"/>
  <c r="D133" i="38" s="1"/>
  <c r="E130" i="38"/>
  <c r="C115" i="38"/>
  <c r="E132" i="38"/>
  <c r="D88" i="38"/>
  <c r="E119" i="38"/>
  <c r="E123" i="38"/>
  <c r="D128" i="38"/>
  <c r="D130" i="38" s="1"/>
  <c r="D25" i="38"/>
  <c r="D93" i="38" s="1"/>
  <c r="E25" i="38"/>
  <c r="E93" i="38" s="1"/>
  <c r="E96" i="38" s="1"/>
  <c r="D123" i="38"/>
  <c r="D119" i="38"/>
  <c r="D121" i="38"/>
  <c r="E121" i="38"/>
  <c r="D13" i="37"/>
  <c r="D16" i="37" s="1"/>
  <c r="D18" i="37" s="1"/>
  <c r="D88" i="37"/>
  <c r="E123" i="37"/>
  <c r="D123" i="37"/>
  <c r="E111" i="37"/>
  <c r="E88" i="37"/>
  <c r="E85" i="37"/>
  <c r="D85" i="37"/>
  <c r="E72" i="37"/>
  <c r="E51" i="37"/>
  <c r="D51" i="37"/>
  <c r="C51" i="37"/>
  <c r="B51" i="37"/>
  <c r="E37" i="37"/>
  <c r="D37" i="37"/>
  <c r="E34" i="37"/>
  <c r="D34" i="37"/>
  <c r="E21" i="37"/>
  <c r="D21" i="37"/>
  <c r="E13" i="37"/>
  <c r="E16" i="37" s="1"/>
  <c r="E18" i="37" s="1"/>
  <c r="E122" i="37" s="1"/>
  <c r="E7" i="37"/>
  <c r="E97" i="37" s="1"/>
  <c r="D7" i="37"/>
  <c r="B2" i="37"/>
  <c r="B1" i="37"/>
  <c r="D98" i="38" l="1"/>
  <c r="E98" i="38"/>
  <c r="D97" i="37"/>
  <c r="D91" i="37" s="1"/>
  <c r="D96" i="38"/>
  <c r="D103" i="38"/>
  <c r="D62" i="37"/>
  <c r="D63" i="37" s="1"/>
  <c r="E62" i="37"/>
  <c r="E63" i="37" s="1"/>
  <c r="E98" i="37"/>
  <c r="E91" i="37"/>
  <c r="E78" i="37"/>
  <c r="C109" i="37"/>
  <c r="D117" i="37"/>
  <c r="D14" i="13"/>
  <c r="E124" i="37"/>
  <c r="D126" i="38"/>
  <c r="E126" i="37"/>
  <c r="D126" i="37"/>
  <c r="D127" i="37" s="1"/>
  <c r="E133" i="38"/>
  <c r="E126" i="38" s="1"/>
  <c r="E115" i="37"/>
  <c r="E14" i="13"/>
  <c r="E36" i="13" s="1"/>
  <c r="D25" i="37"/>
  <c r="D90" i="37" s="1"/>
  <c r="E113" i="37"/>
  <c r="E117" i="37"/>
  <c r="D115" i="37"/>
  <c r="E25" i="37"/>
  <c r="E90" i="37" s="1"/>
  <c r="D122" i="37"/>
  <c r="D124" i="37" s="1"/>
  <c r="D113" i="37"/>
  <c r="D95" i="37" l="1"/>
  <c r="E95" i="37"/>
  <c r="E93" i="37"/>
  <c r="D93" i="37"/>
  <c r="E101" i="37"/>
  <c r="E103" i="37"/>
  <c r="E127" i="37"/>
  <c r="E120" i="37" s="1"/>
  <c r="E104" i="38"/>
  <c r="D120" i="37"/>
  <c r="E78" i="35"/>
  <c r="D41" i="36"/>
  <c r="D81" i="35" s="1"/>
  <c r="D87" i="35" s="1"/>
  <c r="D40" i="36"/>
  <c r="D80" i="35" s="1"/>
  <c r="D86" i="35" s="1"/>
  <c r="D39" i="36"/>
  <c r="D38" i="36"/>
  <c r="E81" i="35"/>
  <c r="E80" i="35"/>
  <c r="E79" i="35"/>
  <c r="E17" i="36"/>
  <c r="E42" i="36" s="1"/>
  <c r="D17" i="36"/>
  <c r="D42" i="36" s="1"/>
  <c r="E9" i="36"/>
  <c r="D9" i="36"/>
  <c r="C9" i="36"/>
  <c r="B9" i="36"/>
  <c r="B2" i="36"/>
  <c r="B1" i="36"/>
  <c r="D73" i="38" l="1"/>
  <c r="D79" i="38" s="1"/>
  <c r="D73" i="37"/>
  <c r="D79" i="37" s="1"/>
  <c r="E73" i="38"/>
  <c r="E73" i="37"/>
  <c r="D72" i="38"/>
  <c r="D78" i="38" s="1"/>
  <c r="D72" i="37"/>
  <c r="D78" i="37" s="1"/>
  <c r="E74" i="38"/>
  <c r="E74" i="37"/>
  <c r="D78" i="35"/>
  <c r="D84" i="35" s="1"/>
  <c r="D74" i="38"/>
  <c r="D80" i="38" s="1"/>
  <c r="D74" i="37"/>
  <c r="D80" i="37" s="1"/>
  <c r="E75" i="38"/>
  <c r="E75" i="37"/>
  <c r="D75" i="38"/>
  <c r="D81" i="38" s="1"/>
  <c r="D75" i="37"/>
  <c r="D81" i="37" s="1"/>
  <c r="D79" i="35"/>
  <c r="D85" i="35" s="1"/>
  <c r="E87" i="35"/>
  <c r="E86" i="35"/>
  <c r="E84" i="35"/>
  <c r="E85" i="35"/>
  <c r="E7" i="35"/>
  <c r="E21" i="35"/>
  <c r="E34" i="35"/>
  <c r="E37" i="35"/>
  <c r="E51" i="35"/>
  <c r="E61" i="35" s="1"/>
  <c r="E68" i="35"/>
  <c r="E69" i="35"/>
  <c r="E66" i="35" s="1"/>
  <c r="E91" i="35"/>
  <c r="E94" i="35"/>
  <c r="E121" i="35"/>
  <c r="E133" i="35"/>
  <c r="D133" i="35"/>
  <c r="D94" i="35"/>
  <c r="D91" i="35"/>
  <c r="D69" i="35"/>
  <c r="D66" i="35" s="1"/>
  <c r="D68" i="35"/>
  <c r="D51" i="35"/>
  <c r="D61" i="35" s="1"/>
  <c r="C51" i="35"/>
  <c r="B51" i="35"/>
  <c r="D37" i="35"/>
  <c r="D34" i="35"/>
  <c r="D21" i="35"/>
  <c r="D7" i="35"/>
  <c r="D103" i="35" s="1"/>
  <c r="B2" i="35"/>
  <c r="B1" i="35"/>
  <c r="E35" i="6"/>
  <c r="F33" i="6"/>
  <c r="E33" i="6"/>
  <c r="E103" i="35" l="1"/>
  <c r="E97" i="35" s="1"/>
  <c r="D12" i="13"/>
  <c r="D32" i="13" s="1"/>
  <c r="D97" i="35"/>
  <c r="D88" i="35"/>
  <c r="D90" i="35" s="1"/>
  <c r="E62" i="35"/>
  <c r="D82" i="38"/>
  <c r="D84" i="38" s="1"/>
  <c r="D86" i="38" s="1"/>
  <c r="E88" i="35"/>
  <c r="E90" i="35" s="1"/>
  <c r="E81" i="38"/>
  <c r="E79" i="37"/>
  <c r="E81" i="37"/>
  <c r="E79" i="38"/>
  <c r="D82" i="37"/>
  <c r="D84" i="37" s="1"/>
  <c r="D86" i="37" s="1"/>
  <c r="E80" i="38"/>
  <c r="E80" i="37"/>
  <c r="E123" i="35"/>
  <c r="E12" i="13"/>
  <c r="E32" i="13" s="1"/>
  <c r="D62" i="35"/>
  <c r="D136" i="35"/>
  <c r="D137" i="35" s="1"/>
  <c r="E127" i="35"/>
  <c r="E125" i="35"/>
  <c r="E136" i="35"/>
  <c r="D13" i="35"/>
  <c r="D16" i="35" s="1"/>
  <c r="D18" i="35" s="1"/>
  <c r="D132" i="35" s="1"/>
  <c r="D134" i="35" s="1"/>
  <c r="E13" i="35"/>
  <c r="E16" i="35" s="1"/>
  <c r="E18" i="35" s="1"/>
  <c r="D125" i="35"/>
  <c r="D123" i="35"/>
  <c r="D127" i="35"/>
  <c r="C119" i="35"/>
  <c r="E101" i="35" l="1"/>
  <c r="E132" i="35"/>
  <c r="E134" i="35" s="1"/>
  <c r="E82" i="38"/>
  <c r="E84" i="38" s="1"/>
  <c r="E86" i="38" s="1"/>
  <c r="E82" i="37"/>
  <c r="E84" i="37" s="1"/>
  <c r="E86" i="37" s="1"/>
  <c r="D130" i="35"/>
  <c r="E137" i="35"/>
  <c r="D25" i="35"/>
  <c r="D96" i="35" s="1"/>
  <c r="D99" i="35" s="1"/>
  <c r="E25" i="35"/>
  <c r="E96" i="35" s="1"/>
  <c r="E99" i="35" s="1"/>
  <c r="E92" i="35"/>
  <c r="D92" i="35"/>
  <c r="D39" i="6"/>
  <c r="D101" i="35" l="1"/>
  <c r="E130" i="35"/>
  <c r="E168" i="8"/>
  <c r="E169" i="8" s="1"/>
  <c r="D168" i="8"/>
  <c r="D169" i="8" s="1"/>
  <c r="E113" i="8"/>
  <c r="E129" i="8" l="1"/>
  <c r="C130" i="7" l="1"/>
  <c r="B1" i="34"/>
  <c r="B2" i="34"/>
  <c r="D113" i="7" l="1"/>
  <c r="D70" i="7"/>
  <c r="D68" i="7"/>
  <c r="D67" i="7"/>
  <c r="E7" i="8" l="1"/>
  <c r="E13" i="8"/>
  <c r="E16" i="8" s="1"/>
  <c r="E18" i="8" s="1"/>
  <c r="E21" i="8"/>
  <c r="E34" i="8"/>
  <c r="E37" i="8"/>
  <c r="E51" i="8"/>
  <c r="E52" i="8"/>
  <c r="E55" i="8"/>
  <c r="E57" i="8"/>
  <c r="E58" i="8"/>
  <c r="E93" i="8"/>
  <c r="E94" i="8"/>
  <c r="E90" i="8" s="1"/>
  <c r="E107" i="8"/>
  <c r="E114" i="8"/>
  <c r="E124" i="8"/>
  <c r="E134" i="8" s="1"/>
  <c r="E125" i="8"/>
  <c r="E126" i="8"/>
  <c r="E138" i="8"/>
  <c r="E170" i="8"/>
  <c r="E178" i="8"/>
  <c r="E193" i="8"/>
  <c r="E194" i="8" s="1"/>
  <c r="E195" i="8" s="1"/>
  <c r="E197" i="8"/>
  <c r="E203" i="8"/>
  <c r="E204" i="8"/>
  <c r="E205" i="8"/>
  <c r="E213" i="8"/>
  <c r="E242" i="8"/>
  <c r="E13" i="7"/>
  <c r="E16" i="7" s="1"/>
  <c r="E18" i="7" s="1"/>
  <c r="E106" i="35"/>
  <c r="E21" i="7"/>
  <c r="E34" i="7"/>
  <c r="E37" i="7"/>
  <c r="E51" i="7"/>
  <c r="E52" i="7"/>
  <c r="E55" i="7"/>
  <c r="E56" i="7"/>
  <c r="E118" i="7"/>
  <c r="E133" i="7"/>
  <c r="E164" i="7"/>
  <c r="E177" i="7"/>
  <c r="E107" i="4"/>
  <c r="E105" i="4" s="1"/>
  <c r="E13" i="4"/>
  <c r="E16" i="4" s="1"/>
  <c r="E18" i="4" s="1"/>
  <c r="E21" i="4"/>
  <c r="E9" i="4"/>
  <c r="E20" i="13" s="1"/>
  <c r="E34" i="4"/>
  <c r="E37" i="4"/>
  <c r="E51" i="4"/>
  <c r="E60" i="4"/>
  <c r="E58" i="4" s="1"/>
  <c r="E73" i="4"/>
  <c r="E119" i="4"/>
  <c r="E145" i="8" l="1"/>
  <c r="E147" i="8"/>
  <c r="E106" i="8"/>
  <c r="E105" i="8"/>
  <c r="E53" i="13"/>
  <c r="E57" i="13" s="1"/>
  <c r="E10" i="13"/>
  <c r="E28" i="13" s="1"/>
  <c r="E234" i="8"/>
  <c r="E232" i="8"/>
  <c r="E236" i="8"/>
  <c r="E181" i="8"/>
  <c r="E189" i="8" s="1"/>
  <c r="E29" i="13"/>
  <c r="E30" i="13" s="1"/>
  <c r="E76" i="4"/>
  <c r="E77" i="4" s="1"/>
  <c r="E95" i="4" s="1"/>
  <c r="E122" i="4"/>
  <c r="E123" i="4" s="1"/>
  <c r="E142" i="7"/>
  <c r="E207" i="8"/>
  <c r="E24" i="15"/>
  <c r="E107" i="35"/>
  <c r="E114" i="7"/>
  <c r="E135" i="8"/>
  <c r="E130" i="8"/>
  <c r="E116" i="8"/>
  <c r="E115" i="8" s="1"/>
  <c r="E141" i="8" s="1"/>
  <c r="E216" i="8"/>
  <c r="E218" i="8" s="1"/>
  <c r="E219" i="8" s="1"/>
  <c r="E220" i="8" s="1"/>
  <c r="E150" i="8"/>
  <c r="E151" i="8" s="1"/>
  <c r="E117" i="7"/>
  <c r="E202" i="8"/>
  <c r="E245" i="8"/>
  <c r="E246" i="8" s="1"/>
  <c r="E241" i="8"/>
  <c r="E243" i="8" s="1"/>
  <c r="E25" i="8"/>
  <c r="E140" i="8" s="1"/>
  <c r="E7" i="7"/>
  <c r="E180" i="7"/>
  <c r="E176" i="7"/>
  <c r="E178" i="7" s="1"/>
  <c r="E25" i="7"/>
  <c r="E7" i="4"/>
  <c r="E118" i="4"/>
  <c r="E120" i="4" s="1"/>
  <c r="E25" i="4"/>
  <c r="E91" i="4" l="1"/>
  <c r="E90" i="4" s="1"/>
  <c r="E8" i="13"/>
  <c r="E24" i="13" s="1"/>
  <c r="E84" i="4"/>
  <c r="E80" i="4" s="1"/>
  <c r="E82" i="4" s="1"/>
  <c r="E89" i="4"/>
  <c r="E85" i="4" s="1"/>
  <c r="E145" i="7"/>
  <c r="E150" i="7"/>
  <c r="E183" i="8"/>
  <c r="E184" i="8" s="1"/>
  <c r="E105" i="35"/>
  <c r="E14" i="15" s="1"/>
  <c r="E149" i="8"/>
  <c r="E167" i="7"/>
  <c r="E9" i="13"/>
  <c r="E26" i="13" s="1"/>
  <c r="E136" i="8"/>
  <c r="E133" i="8" s="1"/>
  <c r="E131" i="8"/>
  <c r="E128" i="8" s="1"/>
  <c r="E230" i="8"/>
  <c r="E239" i="8"/>
  <c r="E171" i="7"/>
  <c r="E169" i="7"/>
  <c r="E109" i="4"/>
  <c r="E113" i="4"/>
  <c r="E111" i="4"/>
  <c r="E116" i="4"/>
  <c r="E87" i="4" l="1"/>
  <c r="E92" i="4"/>
  <c r="E104" i="35"/>
  <c r="E108" i="35" l="1"/>
  <c r="E127" i="13"/>
  <c r="D127" i="13"/>
  <c r="D81" i="13"/>
  <c r="F41" i="6"/>
  <c r="E57" i="7"/>
  <c r="E115" i="7" s="1"/>
  <c r="D94" i="8"/>
  <c r="E60" i="8"/>
  <c r="E208" i="8" s="1"/>
  <c r="F22" i="6"/>
  <c r="E61" i="8" s="1"/>
  <c r="E209" i="8" s="1"/>
  <c r="F34" i="6"/>
  <c r="E56" i="8" s="1"/>
  <c r="E104" i="8" s="1"/>
  <c r="F9" i="6"/>
  <c r="D8" i="26"/>
  <c r="D7" i="26"/>
  <c r="D9" i="26"/>
  <c r="B2" i="26"/>
  <c r="B1" i="26"/>
  <c r="D85" i="13"/>
  <c r="D128" i="13"/>
  <c r="D51" i="4"/>
  <c r="D52" i="4"/>
  <c r="D51" i="8"/>
  <c r="D52" i="8"/>
  <c r="D57" i="8"/>
  <c r="D53" i="8"/>
  <c r="D55" i="8"/>
  <c r="D51" i="7"/>
  <c r="D53" i="7"/>
  <c r="D54" i="7"/>
  <c r="D52" i="7"/>
  <c r="D55" i="7"/>
  <c r="D56" i="7"/>
  <c r="D57" i="7"/>
  <c r="D25" i="13"/>
  <c r="D27" i="13"/>
  <c r="D37" i="13"/>
  <c r="E41" i="6"/>
  <c r="D52" i="12"/>
  <c r="D51" i="12"/>
  <c r="D140" i="13"/>
  <c r="D135" i="13"/>
  <c r="D134" i="13"/>
  <c r="D136" i="13"/>
  <c r="D7" i="12"/>
  <c r="D15" i="13" s="1"/>
  <c r="D13" i="12"/>
  <c r="D16" i="12" s="1"/>
  <c r="D18" i="12" s="1"/>
  <c r="D21" i="12"/>
  <c r="D37" i="12"/>
  <c r="D34" i="12"/>
  <c r="E52" i="4"/>
  <c r="E72" i="4" s="1"/>
  <c r="E53" i="7"/>
  <c r="E54" i="7"/>
  <c r="E50" i="6"/>
  <c r="D60" i="7" s="1"/>
  <c r="E53" i="8"/>
  <c r="D54" i="8"/>
  <c r="E39" i="6"/>
  <c r="E34" i="6"/>
  <c r="D56" i="8" s="1"/>
  <c r="D60" i="8"/>
  <c r="E22" i="6"/>
  <c r="D61" i="8" s="1"/>
  <c r="D93" i="8"/>
  <c r="D213" i="8"/>
  <c r="D203" i="8"/>
  <c r="D204" i="8"/>
  <c r="D205" i="8"/>
  <c r="D178" i="8"/>
  <c r="D216" i="8" s="1"/>
  <c r="D218" i="8" s="1"/>
  <c r="D219" i="8" s="1"/>
  <c r="D85" i="8"/>
  <c r="D113" i="8"/>
  <c r="D129" i="8" s="1"/>
  <c r="D114" i="8"/>
  <c r="D130" i="8" s="1"/>
  <c r="D126" i="8"/>
  <c r="D13" i="8"/>
  <c r="D16" i="8" s="1"/>
  <c r="D18" i="8" s="1"/>
  <c r="D7" i="8"/>
  <c r="D125" i="8"/>
  <c r="D124" i="8"/>
  <c r="D107" i="8"/>
  <c r="D138" i="8"/>
  <c r="D11" i="13"/>
  <c r="D34" i="8"/>
  <c r="D37" i="8"/>
  <c r="D242" i="8"/>
  <c r="D197" i="8"/>
  <c r="D193" i="8"/>
  <c r="D194" i="8" s="1"/>
  <c r="D195" i="8" s="1"/>
  <c r="B58" i="8"/>
  <c r="C58" i="8"/>
  <c r="B59" i="8"/>
  <c r="C59" i="8"/>
  <c r="B60" i="8"/>
  <c r="C60" i="8"/>
  <c r="B61" i="8"/>
  <c r="C61" i="8"/>
  <c r="C228" i="8"/>
  <c r="D21" i="7"/>
  <c r="D13" i="7"/>
  <c r="D16" i="7" s="1"/>
  <c r="D18" i="7" s="1"/>
  <c r="D34" i="7"/>
  <c r="D37" i="7"/>
  <c r="D177" i="7"/>
  <c r="D7" i="7"/>
  <c r="D140" i="7"/>
  <c r="D118" i="7"/>
  <c r="D21" i="4"/>
  <c r="D11" i="4"/>
  <c r="D43" i="13" s="1"/>
  <c r="E9" i="6"/>
  <c r="D136" i="7" s="1"/>
  <c r="D138" i="7" s="1"/>
  <c r="D9" i="6"/>
  <c r="D7" i="4"/>
  <c r="D113" i="4" s="1"/>
  <c r="D76" i="4"/>
  <c r="D60" i="4"/>
  <c r="D73" i="4"/>
  <c r="D34" i="4"/>
  <c r="D37" i="4"/>
  <c r="D119" i="4"/>
  <c r="D105" i="4"/>
  <c r="D41" i="6"/>
  <c r="D115" i="13"/>
  <c r="B140" i="13"/>
  <c r="B136" i="13"/>
  <c r="B135" i="13"/>
  <c r="B134" i="13"/>
  <c r="B15" i="13"/>
  <c r="B10" i="13"/>
  <c r="B9" i="13"/>
  <c r="B8" i="13"/>
  <c r="B37" i="13"/>
  <c r="B27" i="13"/>
  <c r="B23" i="13"/>
  <c r="B25" i="13"/>
  <c r="B2" i="15"/>
  <c r="B1" i="15"/>
  <c r="B82" i="13"/>
  <c r="B2" i="13"/>
  <c r="B1" i="13"/>
  <c r="B2" i="12"/>
  <c r="B1" i="12"/>
  <c r="C55" i="8"/>
  <c r="B55" i="8"/>
  <c r="C57" i="8"/>
  <c r="B57" i="8"/>
  <c r="B136" i="8"/>
  <c r="B135" i="8"/>
  <c r="B134" i="8"/>
  <c r="B126" i="8"/>
  <c r="B125" i="8"/>
  <c r="B124" i="8"/>
  <c r="C56" i="8"/>
  <c r="B56" i="8"/>
  <c r="C53" i="8"/>
  <c r="C54" i="8"/>
  <c r="B54" i="8"/>
  <c r="B53" i="8"/>
  <c r="C60" i="7"/>
  <c r="B60" i="7"/>
  <c r="C52" i="8"/>
  <c r="B52" i="8"/>
  <c r="C163" i="8"/>
  <c r="C51" i="8"/>
  <c r="B51" i="8"/>
  <c r="B2" i="8"/>
  <c r="B1" i="8"/>
  <c r="C57" i="7"/>
  <c r="B57" i="7"/>
  <c r="C56" i="7"/>
  <c r="B56" i="7"/>
  <c r="C54" i="7"/>
  <c r="C55" i="7"/>
  <c r="B54" i="7"/>
  <c r="B55" i="7"/>
  <c r="C52" i="7"/>
  <c r="B52" i="7"/>
  <c r="C53" i="7"/>
  <c r="B53" i="7"/>
  <c r="C138" i="7"/>
  <c r="C51" i="7"/>
  <c r="B51" i="7"/>
  <c r="B2" i="7"/>
  <c r="B1" i="7"/>
  <c r="C105" i="4"/>
  <c r="C52" i="4"/>
  <c r="B52" i="4"/>
  <c r="C51" i="4"/>
  <c r="B51" i="4"/>
  <c r="B2" i="4"/>
  <c r="B1" i="4"/>
  <c r="D236" i="8" l="1"/>
  <c r="D145" i="8"/>
  <c r="E136" i="7"/>
  <c r="E138" i="7" s="1"/>
  <c r="D116" i="7"/>
  <c r="D111" i="4"/>
  <c r="D89" i="4"/>
  <c r="D85" i="4" s="1"/>
  <c r="D53" i="13"/>
  <c r="D169" i="7"/>
  <c r="D150" i="7"/>
  <c r="D220" i="8"/>
  <c r="D106" i="8"/>
  <c r="D116" i="8"/>
  <c r="D115" i="8" s="1"/>
  <c r="D105" i="8"/>
  <c r="D25" i="12"/>
  <c r="D207" i="8"/>
  <c r="D135" i="8"/>
  <c r="D77" i="4"/>
  <c r="E78" i="4" s="1"/>
  <c r="D109" i="4"/>
  <c r="D72" i="4"/>
  <c r="D74" i="4" s="1"/>
  <c r="D141" i="7"/>
  <c r="D13" i="4"/>
  <c r="D16" i="4" s="1"/>
  <c r="D18" i="4" s="1"/>
  <c r="D118" i="4" s="1"/>
  <c r="D120" i="4" s="1"/>
  <c r="D122" i="4"/>
  <c r="D123" i="4" s="1"/>
  <c r="E74" i="4"/>
  <c r="E115" i="13"/>
  <c r="D53" i="12"/>
  <c r="D38" i="13"/>
  <c r="D36" i="13"/>
  <c r="D34" i="13"/>
  <c r="E210" i="8"/>
  <c r="E212" i="8" s="1"/>
  <c r="E214" i="8" s="1"/>
  <c r="E42" i="6"/>
  <c r="F50" i="6"/>
  <c r="F39" i="6"/>
  <c r="F40" i="6" s="1"/>
  <c r="E110" i="8"/>
  <c r="D29" i="13"/>
  <c r="D30" i="13" s="1"/>
  <c r="D232" i="8"/>
  <c r="D208" i="8"/>
  <c r="D104" i="8"/>
  <c r="D234" i="8"/>
  <c r="D209" i="8"/>
  <c r="D134" i="8"/>
  <c r="D115" i="7"/>
  <c r="D114" i="7"/>
  <c r="D117" i="7"/>
  <c r="D245" i="8"/>
  <c r="D246" i="8" s="1"/>
  <c r="D147" i="8"/>
  <c r="D181" i="8"/>
  <c r="D184" i="8" s="1"/>
  <c r="D202" i="8"/>
  <c r="D170" i="8"/>
  <c r="E172" i="8" s="1"/>
  <c r="D25" i="8"/>
  <c r="D140" i="8" s="1"/>
  <c r="D241" i="8"/>
  <c r="D243" i="8" s="1"/>
  <c r="D10" i="13"/>
  <c r="D28" i="13" s="1"/>
  <c r="D148" i="8"/>
  <c r="D14" i="26"/>
  <c r="D15" i="26" s="1"/>
  <c r="D180" i="7"/>
  <c r="E181" i="7" s="1"/>
  <c r="E174" i="7" s="1"/>
  <c r="D90" i="8"/>
  <c r="D167" i="7"/>
  <c r="D176" i="7"/>
  <c r="D178" i="7" s="1"/>
  <c r="D25" i="7"/>
  <c r="D145" i="7" s="1"/>
  <c r="D171" i="7"/>
  <c r="D9" i="13"/>
  <c r="D26" i="13" s="1"/>
  <c r="D141" i="13"/>
  <c r="D58" i="4"/>
  <c r="D66" i="13"/>
  <c r="D18" i="13"/>
  <c r="D69" i="13"/>
  <c r="D8" i="13"/>
  <c r="D149" i="8"/>
  <c r="D23" i="13"/>
  <c r="D41" i="13" s="1"/>
  <c r="F42" i="6"/>
  <c r="D105" i="35" l="1"/>
  <c r="D14" i="15" s="1"/>
  <c r="D25" i="4"/>
  <c r="D142" i="7"/>
  <c r="E143" i="7"/>
  <c r="D131" i="8"/>
  <c r="D128" i="8" s="1"/>
  <c r="D110" i="8" s="1"/>
  <c r="D141" i="8"/>
  <c r="D143" i="8" s="1"/>
  <c r="D23" i="15"/>
  <c r="D13" i="15"/>
  <c r="D95" i="4"/>
  <c r="D8" i="15"/>
  <c r="D18" i="15"/>
  <c r="D106" i="35"/>
  <c r="D24" i="15" s="1"/>
  <c r="D150" i="8"/>
  <c r="D151" i="8" s="1"/>
  <c r="D146" i="8" s="1"/>
  <c r="D152" i="8" s="1"/>
  <c r="D116" i="4"/>
  <c r="D239" i="8"/>
  <c r="D16" i="13"/>
  <c r="E116" i="13"/>
  <c r="D117" i="13"/>
  <c r="E54" i="8"/>
  <c r="E148" i="8" s="1"/>
  <c r="E60" i="7"/>
  <c r="D136" i="8"/>
  <c r="D133" i="8" s="1"/>
  <c r="D111" i="8" s="1"/>
  <c r="D103" i="8" s="1"/>
  <c r="D210" i="8"/>
  <c r="D212" i="8" s="1"/>
  <c r="D214" i="8" s="1"/>
  <c r="D121" i="7"/>
  <c r="D122" i="7" s="1"/>
  <c r="D146" i="7" s="1"/>
  <c r="D148" i="7" s="1"/>
  <c r="D183" i="8"/>
  <c r="D189" i="8"/>
  <c r="D181" i="7"/>
  <c r="D174" i="7" s="1"/>
  <c r="D45" i="13"/>
  <c r="D48" i="13" s="1"/>
  <c r="D50" i="13" s="1"/>
  <c r="D82" i="13" s="1"/>
  <c r="D39" i="13"/>
  <c r="E9" i="15"/>
  <c r="E29" i="15" s="1"/>
  <c r="D24" i="13"/>
  <c r="D9" i="15"/>
  <c r="E8" i="15"/>
  <c r="E13" i="15"/>
  <c r="E15" i="15" s="1"/>
  <c r="E116" i="7" l="1"/>
  <c r="E121" i="7" s="1"/>
  <c r="D15" i="15"/>
  <c r="D29" i="15"/>
  <c r="D84" i="4"/>
  <c r="D91" i="4"/>
  <c r="D90" i="4" s="1"/>
  <c r="D92" i="4" s="1"/>
  <c r="E93" i="4" s="1"/>
  <c r="E154" i="7"/>
  <c r="E147" i="7"/>
  <c r="D25" i="15"/>
  <c r="D32" i="15"/>
  <c r="D19" i="15"/>
  <c r="D33" i="15" s="1"/>
  <c r="D34" i="15" s="1"/>
  <c r="D107" i="35"/>
  <c r="D104" i="35" s="1"/>
  <c r="D28" i="15"/>
  <c r="D36" i="15" s="1"/>
  <c r="E28" i="15"/>
  <c r="E30" i="15" s="1"/>
  <c r="E117" i="13"/>
  <c r="E111" i="8"/>
  <c r="E103" i="8" s="1"/>
  <c r="E146" i="8"/>
  <c r="E152" i="8" s="1"/>
  <c r="E153" i="8" s="1"/>
  <c r="D112" i="7"/>
  <c r="D111" i="7"/>
  <c r="D230" i="8"/>
  <c r="D19" i="26"/>
  <c r="E10" i="15"/>
  <c r="D10" i="15"/>
  <c r="D83" i="13"/>
  <c r="D89" i="13" s="1"/>
  <c r="D57" i="13"/>
  <c r="E123" i="7" l="1"/>
  <c r="E122" i="7"/>
  <c r="D87" i="4"/>
  <c r="D80" i="4"/>
  <c r="D82" i="4" s="1"/>
  <c r="E146" i="7"/>
  <c r="E148" i="7" s="1"/>
  <c r="E151" i="7"/>
  <c r="D108" i="35"/>
  <c r="E109" i="35" s="1"/>
  <c r="D20" i="15"/>
  <c r="E143" i="8"/>
  <c r="D110" i="7"/>
  <c r="D119" i="7" s="1"/>
  <c r="D109" i="13"/>
  <c r="D91" i="13"/>
  <c r="D94" i="13" s="1"/>
  <c r="D37" i="15"/>
  <c r="D38" i="15" s="1"/>
  <c r="D30" i="15"/>
  <c r="E18" i="15"/>
  <c r="E23" i="15"/>
  <c r="E32" i="15" l="1"/>
  <c r="D120" i="13"/>
  <c r="D122" i="13" s="1"/>
  <c r="D100" i="13" s="1"/>
  <c r="D125" i="13"/>
  <c r="D129" i="13" s="1"/>
  <c r="D96" i="13"/>
  <c r="D99" i="13"/>
  <c r="E19" i="15"/>
  <c r="E25" i="15"/>
  <c r="E20" i="15" l="1"/>
  <c r="E33" i="15"/>
  <c r="E37" i="15" s="1"/>
  <c r="D101" i="13"/>
  <c r="D105" i="13" s="1"/>
  <c r="D131" i="13"/>
  <c r="D102" i="13" s="1"/>
  <c r="E36" i="15"/>
  <c r="E34" i="15" l="1"/>
  <c r="E38" i="15"/>
  <c r="E102" i="8" l="1"/>
  <c r="E108" i="8" s="1"/>
  <c r="D102" i="8"/>
  <c r="D108" i="8" s="1"/>
  <c r="E85" i="13"/>
  <c r="E81" i="13" l="1"/>
  <c r="E18" i="13" l="1"/>
  <c r="E16" i="13" s="1"/>
  <c r="E19" i="26" l="1"/>
  <c r="E82" i="13" l="1"/>
  <c r="E83" i="13" s="1"/>
  <c r="E89" i="13" s="1"/>
  <c r="E91" i="13" l="1"/>
  <c r="E94" i="13" s="1"/>
  <c r="E125" i="13" s="1"/>
  <c r="E129" i="13" s="1"/>
  <c r="E109" i="13"/>
  <c r="E96" i="13" l="1"/>
  <c r="E120" i="13"/>
  <c r="E122" i="13" s="1"/>
  <c r="E100" i="13" s="1"/>
  <c r="E99" i="13"/>
  <c r="E101" i="13"/>
  <c r="E131" i="13"/>
  <c r="E102" i="13" s="1"/>
  <c r="E112" i="7" l="1"/>
  <c r="E111" i="7"/>
  <c r="E110" i="7" l="1"/>
  <c r="E1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Rawlinson, Johann (J)</author>
  </authors>
  <commentList>
    <comment ref="B16" authorId="0" shapeId="0" xr:uid="{00000000-0006-0000-0200-000001000000}">
      <text>
        <r>
          <rPr>
            <b/>
            <sz val="9"/>
            <color indexed="81"/>
            <rFont val="Tahoma"/>
            <family val="2"/>
          </rPr>
          <t>Rawlinson, Johann (J):</t>
        </r>
        <r>
          <rPr>
            <sz val="9"/>
            <color indexed="81"/>
            <rFont val="Tahoma"/>
            <family val="2"/>
          </rPr>
          <t xml:space="preserve">
The export coal that Sasol sells (P58) has a lower heating value, and thus price, than the benchmark API4 export price (P60).
Sasol will not be providing this information going forward and an estimate will have to be made by the analyst, if required</t>
        </r>
      </text>
    </comment>
    <comment ref="E21" authorId="0" shapeId="0" xr:uid="{00000000-0006-0000-0200-000002000000}">
      <text>
        <r>
          <rPr>
            <b/>
            <sz val="9"/>
            <color indexed="81"/>
            <rFont val="Tahoma"/>
            <family val="2"/>
          </rPr>
          <t>Rawlinson, Johann (J):</t>
        </r>
        <r>
          <rPr>
            <sz val="9"/>
            <color indexed="81"/>
            <rFont val="Tahoma"/>
            <family val="2"/>
          </rPr>
          <t xml:space="preserve">
See for approximate historical data:
https://www.aer.ca/providing-information/data-and-reports/statistical-reports/st98/prices-and-capital-expenditure/natural-gas-prices/aeco-c-price</t>
        </r>
      </text>
    </comment>
    <comment ref="F21" authorId="0" shapeId="0" xr:uid="{00000000-0006-0000-0200-000003000000}">
      <text>
        <r>
          <rPr>
            <b/>
            <sz val="9"/>
            <color indexed="81"/>
            <rFont val="Tahoma"/>
            <family val="2"/>
          </rPr>
          <t>Rawlinson, Johann (J):</t>
        </r>
        <r>
          <rPr>
            <sz val="9"/>
            <color indexed="81"/>
            <rFont val="Tahoma"/>
            <family val="2"/>
          </rPr>
          <t xml:space="preserve">
See for approximate historical data:
https://www.aer.ca/providing-information/data-and-reports/statistical-reports/st98/prices-and-capital-expenditure/natural-gas-prices/aeco-c-price</t>
        </r>
      </text>
    </comment>
    <comment ref="E25" authorId="0" shapeId="0" xr:uid="{00000000-0006-0000-0200-000004000000}">
      <text>
        <r>
          <rPr>
            <b/>
            <sz val="9"/>
            <color indexed="81"/>
            <rFont val="Tahoma"/>
            <family val="2"/>
          </rPr>
          <t>Rawlinson, Johann (J):</t>
        </r>
        <r>
          <rPr>
            <sz val="9"/>
            <color indexed="81"/>
            <rFont val="Tahoma"/>
            <family val="2"/>
          </rPr>
          <t xml:space="preserve">
Varies.</t>
        </r>
      </text>
    </comment>
    <comment ref="E26" authorId="0" shapeId="0" xr:uid="{00000000-0006-0000-0200-000005000000}">
      <text>
        <r>
          <rPr>
            <b/>
            <sz val="9"/>
            <color indexed="81"/>
            <rFont val="Tahoma"/>
            <family val="2"/>
          </rPr>
          <t>Rawlinson, Johann (J):</t>
        </r>
        <r>
          <rPr>
            <sz val="9"/>
            <color indexed="81"/>
            <rFont val="Tahoma"/>
            <family val="2"/>
          </rPr>
          <t xml:space="preserve">
Varies.</t>
        </r>
      </text>
    </comment>
    <comment ref="E27" authorId="0" shapeId="0" xr:uid="{00000000-0006-0000-0200-000006000000}">
      <text>
        <r>
          <rPr>
            <b/>
            <sz val="9"/>
            <color indexed="81"/>
            <rFont val="Tahoma"/>
            <family val="2"/>
          </rPr>
          <t>Rawlinson, Johann (J):</t>
        </r>
        <r>
          <rPr>
            <sz val="9"/>
            <color indexed="81"/>
            <rFont val="Tahoma"/>
            <family val="2"/>
          </rPr>
          <t xml:space="preserve">
Refer BP Statistical Review for data - https://www.bp.com/content/dam/bp/business-sites/en/global/corporate/pdfs/energy-economics/statistical-review/bp-stats-review-2020-full-report.pdf</t>
        </r>
      </text>
    </comment>
    <comment ref="F27" authorId="0" shapeId="0" xr:uid="{00000000-0006-0000-0200-000007000000}">
      <text>
        <r>
          <rPr>
            <b/>
            <sz val="9"/>
            <color indexed="81"/>
            <rFont val="Tahoma"/>
            <family val="2"/>
          </rPr>
          <t>Rawlinson, Johann (J):</t>
        </r>
        <r>
          <rPr>
            <sz val="9"/>
            <color indexed="81"/>
            <rFont val="Tahoma"/>
            <family val="2"/>
          </rPr>
          <t xml:space="preserve">
Refer BP Statistical Review for data - https://www.bp.com/content/dam/bp/business-sites/en/global/corporate/pdfs/energy-economics/statistical-review/bp-stats-review-2020-full-report.pdf</t>
        </r>
      </text>
    </comment>
    <comment ref="E28" authorId="0" shapeId="0" xr:uid="{00000000-0006-0000-0200-000008000000}">
      <text>
        <r>
          <rPr>
            <b/>
            <sz val="9"/>
            <color indexed="81"/>
            <rFont val="Tahoma"/>
            <family val="2"/>
          </rPr>
          <t>Rawlinson, Johann (J):</t>
        </r>
        <r>
          <rPr>
            <sz val="9"/>
            <color indexed="81"/>
            <rFont val="Tahoma"/>
            <family val="2"/>
          </rPr>
          <t xml:space="preserve">
https://www.reuters.com/article/us-health-coronavirus-refining-diesel/swamped-by-diesel-refiners-struggle-with-coronavirus-recovery-idUSKBN23B1T1</t>
        </r>
      </text>
    </comment>
    <comment ref="F28" authorId="0" shapeId="0" xr:uid="{00000000-0006-0000-0200-000009000000}">
      <text>
        <r>
          <rPr>
            <b/>
            <sz val="9"/>
            <color indexed="81"/>
            <rFont val="Tahoma"/>
            <family val="2"/>
          </rPr>
          <t>Rawlinson, Johann (J):</t>
        </r>
        <r>
          <rPr>
            <sz val="9"/>
            <color indexed="81"/>
            <rFont val="Tahoma"/>
            <family val="2"/>
          </rPr>
          <t xml:space="preserve">
https://www.reuters.com/article/us-health-coronavirus-refining-diesel/swamped-by-diesel-refiners-struggle-with-coronavirus-recovery-idUSKBN23B1T1</t>
        </r>
      </text>
    </comment>
    <comment ref="E29" authorId="0" shapeId="0" xr:uid="{00000000-0006-0000-0200-00000A000000}">
      <text>
        <r>
          <rPr>
            <b/>
            <sz val="9"/>
            <color indexed="81"/>
            <rFont val="Tahoma"/>
            <family val="2"/>
          </rPr>
          <t>Rawlinson, Johann (J):</t>
        </r>
        <r>
          <rPr>
            <sz val="9"/>
            <color indexed="81"/>
            <rFont val="Tahoma"/>
            <family val="2"/>
          </rPr>
          <t xml:space="preserve">
Refer BP Statistical Review for data - https://www.bp.com/content/dam/bp/business-sites/en/global/corporate/pdfs/energy-economics/statistical-review/bp-stats-review-2020-full-report.pdf</t>
        </r>
      </text>
    </comment>
    <comment ref="F29" authorId="0" shapeId="0" xr:uid="{00000000-0006-0000-0200-00000B000000}">
      <text>
        <r>
          <rPr>
            <b/>
            <sz val="9"/>
            <color indexed="81"/>
            <rFont val="Tahoma"/>
            <family val="2"/>
          </rPr>
          <t>Rawlinson, Johann (J):</t>
        </r>
        <r>
          <rPr>
            <sz val="9"/>
            <color indexed="81"/>
            <rFont val="Tahoma"/>
            <family val="2"/>
          </rPr>
          <t xml:space="preserve">
Refer BP Statistical Review for data - https://www.bp.com/content/dam/bp/business-sites/en/global/corporate/pdfs/energy-economics/statistical-review/bp-stats-review-2020-full-report.pdf</t>
        </r>
      </text>
    </comment>
    <comment ref="E30" authorId="0" shapeId="0" xr:uid="{00000000-0006-0000-0200-00000C000000}">
      <text>
        <r>
          <rPr>
            <b/>
            <sz val="9"/>
            <color indexed="81"/>
            <rFont val="Tahoma"/>
            <family val="2"/>
          </rPr>
          <t>Rawlinson, Johann (J):</t>
        </r>
        <r>
          <rPr>
            <sz val="9"/>
            <color indexed="81"/>
            <rFont val="Tahoma"/>
            <family val="2"/>
          </rPr>
          <t xml:space="preserve">
Varies, depending on oil source and how sour/heavy crude oil is.
We generally pay:
- a ~$3/bbl premium for two reasons: freight, and a price premium over Brent for our crude oil diet for Natref, and
- a~$4.50/bbl Crude Oil Pipeline charge from Durban harbour to Sasolburg, to transport the crude to Natref</t>
        </r>
      </text>
    </comment>
    <comment ref="F30" authorId="0" shapeId="0" xr:uid="{00000000-0006-0000-0200-00000D000000}">
      <text>
        <r>
          <rPr>
            <b/>
            <sz val="9"/>
            <color indexed="81"/>
            <rFont val="Tahoma"/>
            <family val="2"/>
          </rPr>
          <t>Rawlinson, Johann (J):</t>
        </r>
        <r>
          <rPr>
            <sz val="9"/>
            <color indexed="81"/>
            <rFont val="Tahoma"/>
            <family val="2"/>
          </rPr>
          <t xml:space="preserve">
Varies, depending on oil source and how sour/heavy crude oil is.
We generally pay:
- a ~$3/bbl premium for two reasons: freight, and a price premium over Brent for our crude oil diet for Natref, and
- a~$4.50/bbl Crude Oil Pipeline charge from Durban harbour to Sasolburg, to transport the crude to Natref
FY20 had a ~$13/bbl "premium" over the average annual price for crude oil purchases due to timing. We mainly purchased crude oil during the first 9 months of the year (when prices were higher) and purchased very little during the last 3 months of the year when oil prices were low (as we stopped production at Natref due to the COVID pandemic and reduced liquid fuels demand in South Africa)</t>
        </r>
      </text>
    </comment>
    <comment ref="F31" authorId="0" shapeId="0" xr:uid="{00000000-0006-0000-0200-00000E000000}">
      <text>
        <r>
          <rPr>
            <b/>
            <sz val="9"/>
            <color indexed="81"/>
            <rFont val="Tahoma"/>
            <family val="2"/>
          </rPr>
          <t>Rawlinson, Johann (J):</t>
        </r>
        <r>
          <rPr>
            <sz val="9"/>
            <color indexed="81"/>
            <rFont val="Tahoma"/>
            <family val="2"/>
          </rPr>
          <t xml:space="preserve">
Monthly data to perform this calc can be obtained from:
http://www.energy.gov.za/files/esources/petroleum/December2020/Basic-Fuel-Price.pdf
</t>
        </r>
      </text>
    </comment>
    <comment ref="F32" authorId="0" shapeId="0" xr:uid="{00000000-0006-0000-0200-00000F000000}">
      <text>
        <r>
          <rPr>
            <b/>
            <sz val="9"/>
            <color indexed="81"/>
            <rFont val="Tahoma"/>
            <family val="2"/>
          </rPr>
          <t>Rawlinson, Johann (J):</t>
        </r>
        <r>
          <rPr>
            <sz val="9"/>
            <color indexed="81"/>
            <rFont val="Tahoma"/>
            <family val="2"/>
          </rPr>
          <t xml:space="preserve">
Monthly data to perform this calc can be obtained from:
http://www.energy.gov.za/files/esources/petroleum/December2020/Basic-Fuel-Price.pdf
</t>
        </r>
      </text>
    </comment>
    <comment ref="E33" authorId="0" shapeId="0" xr:uid="{00000000-0006-0000-0200-000010000000}">
      <text>
        <r>
          <rPr>
            <b/>
            <sz val="9"/>
            <color indexed="81"/>
            <rFont val="Tahoma"/>
            <family val="2"/>
          </rPr>
          <t>Rawlinson, Johann (J):</t>
        </r>
        <r>
          <rPr>
            <sz val="9"/>
            <color indexed="81"/>
            <rFont val="Tahoma"/>
            <family val="2"/>
          </rPr>
          <t xml:space="preserve">
Approximate R1,98/litre - 
http://www.energy.gov.za/files/esources/petroleum/March2021/Petrol-margins.pdf</t>
        </r>
      </text>
    </comment>
    <comment ref="F33" authorId="0" shapeId="0" xr:uid="{00000000-0006-0000-0200-000011000000}">
      <text>
        <r>
          <rPr>
            <b/>
            <sz val="9"/>
            <color indexed="81"/>
            <rFont val="Tahoma"/>
            <family val="2"/>
          </rPr>
          <t>Rawlinson, Johann (J):</t>
        </r>
        <r>
          <rPr>
            <sz val="9"/>
            <color indexed="81"/>
            <rFont val="Tahoma"/>
            <family val="2"/>
          </rPr>
          <t xml:space="preserve">
Approximate R2,20/litre - 
http://www.energy.gov.za/files/esources/petroleum/March2021/Petrol-margins.pdf</t>
        </r>
      </text>
    </comment>
    <comment ref="E35" authorId="0" shapeId="0" xr:uid="{00000000-0006-0000-0200-000012000000}">
      <text>
        <r>
          <rPr>
            <b/>
            <sz val="9"/>
            <color indexed="81"/>
            <rFont val="Tahoma"/>
            <family val="2"/>
          </rPr>
          <t>Rawlinson, Johann (J):</t>
        </r>
        <r>
          <rPr>
            <sz val="9"/>
            <color indexed="81"/>
            <rFont val="Tahoma"/>
            <family val="2"/>
          </rPr>
          <t xml:space="preserve">
Varies between 0-10% discount.
https://www.spglobal.com/platts/en/market-insights/latest-news/oil/071720-qatari-condensates-price-differential-to-dubai-crude-flips-to-premium-after-6-months-as-spot-supply-tightens</t>
        </r>
      </text>
    </comment>
    <comment ref="F35" authorId="0" shapeId="0" xr:uid="{00000000-0006-0000-0200-000013000000}">
      <text>
        <r>
          <rPr>
            <b/>
            <sz val="9"/>
            <color indexed="81"/>
            <rFont val="Tahoma"/>
            <family val="2"/>
          </rPr>
          <t>Rawlinson, Johann (J):</t>
        </r>
        <r>
          <rPr>
            <sz val="9"/>
            <color indexed="81"/>
            <rFont val="Tahoma"/>
            <family val="2"/>
          </rPr>
          <t xml:space="preserve">
Varies between 0-10% discount.
https://www.spglobal.com/platts/en/market-insights/latest-news/oil/071720-qatari-condensates-price-differential-to-dubai-crude-flips-to-premium-after-6-months-as-spot-supply-tightens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Rawlinson, Johann (J)</author>
  </authors>
  <commentList>
    <comment ref="E100" authorId="0" shapeId="0" xr:uid="{00000000-0006-0000-0400-000001000000}">
      <text>
        <r>
          <rPr>
            <b/>
            <sz val="9"/>
            <color indexed="81"/>
            <rFont val="Tahoma"/>
            <family val="2"/>
          </rPr>
          <t>Rawlinson, Johann (J):</t>
        </r>
        <r>
          <rPr>
            <sz val="9"/>
            <color indexed="81"/>
            <rFont val="Tahoma"/>
            <family val="2"/>
          </rPr>
          <t xml:space="preserve">
Due to the net loss attributable to shareholders in 2020, the inclusion of the long-term incentive scheme and Khanyisa Tier 1 share options as potential ordinary shares
had an anti-dilutive effect on the loss per share and were therefore not taken into account in the current year calculation of DEPS and HEPS.</t>
        </r>
      </text>
    </comment>
    <comment ref="E102" authorId="0" shapeId="0" xr:uid="{00000000-0006-0000-0400-000002000000}">
      <text>
        <r>
          <rPr>
            <b/>
            <sz val="9"/>
            <color indexed="81"/>
            <rFont val="Tahoma"/>
            <family val="2"/>
          </rPr>
          <t>Rawlinson, Johann (J):</t>
        </r>
        <r>
          <rPr>
            <sz val="9"/>
            <color indexed="81"/>
            <rFont val="Tahoma"/>
            <family val="2"/>
          </rPr>
          <t xml:space="preserve">
Due to the net loss attributable to shareholders in 2020, the inclusion of the long-term incentive scheme and Khanyisa Tier 1 share options as potential ordinary shares
had an anti-dilutive effect on the loss per share and were therefore not taken into account in the current year calculation of DEPS and HEPS.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Rawlinson, Johann (J)</author>
  </authors>
  <commentList>
    <comment ref="E74" authorId="0" shapeId="0" xr:uid="{00000000-0006-0000-0500-000001000000}">
      <text>
        <r>
          <rPr>
            <b/>
            <sz val="9"/>
            <color indexed="81"/>
            <rFont val="Tahoma"/>
            <family val="2"/>
          </rPr>
          <t>Rawlinson, Johann (J):</t>
        </r>
        <r>
          <rPr>
            <sz val="9"/>
            <color indexed="81"/>
            <rFont val="Tahoma"/>
            <family val="2"/>
          </rPr>
          <t xml:space="preserve">
Difference is due to royalties of about R500m p.a. that gets netted off against external coal sales otherwise the interdivisional numbers do not balance</t>
        </r>
      </text>
    </comment>
    <comment ref="D95" authorId="0" shapeId="0" xr:uid="{00000000-0006-0000-0500-000002000000}">
      <text>
        <r>
          <rPr>
            <b/>
            <sz val="9"/>
            <color indexed="81"/>
            <rFont val="Tahoma"/>
            <family val="2"/>
          </rPr>
          <t>Rawlinson, Johann (J):</t>
        </r>
        <r>
          <rPr>
            <sz val="9"/>
            <color indexed="81"/>
            <rFont val="Tahoma"/>
            <family val="2"/>
          </rPr>
          <t xml:space="preserve">
This varies depending on whether its just the contract mining volumes we purchase, or additional volumes. Ive assumed that in general anyone would sell coal to us at about 20% more than its costs us to mine it, as they would presumably have a similar or slightly higher mining cost, and need to earn a return on their capital</t>
        </r>
      </text>
    </comment>
    <comment ref="B102" authorId="0" shapeId="0" xr:uid="{00000000-0006-0000-0500-000003000000}">
      <text>
        <r>
          <rPr>
            <b/>
            <sz val="9"/>
            <color indexed="81"/>
            <rFont val="Tahoma"/>
            <family val="2"/>
          </rPr>
          <t>Rawlinson, Johann (J):</t>
        </r>
        <r>
          <rPr>
            <sz val="9"/>
            <color indexed="81"/>
            <rFont val="Tahoma"/>
            <family val="2"/>
          </rPr>
          <t xml:space="preserve">
Suggestion: Make the labour index increase a function of both expected labour inflation and volume variance (number of employees)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Rawlinson, Johann (J)</author>
  </authors>
  <commentList>
    <comment ref="E88" authorId="0" shapeId="0" xr:uid="{00000000-0006-0000-0600-000001000000}">
      <text>
        <r>
          <rPr>
            <b/>
            <sz val="9"/>
            <color indexed="81"/>
            <rFont val="Tahoma"/>
            <family val="2"/>
          </rPr>
          <t>Rawlinson, Johann (J):</t>
        </r>
        <r>
          <rPr>
            <sz val="9"/>
            <color indexed="81"/>
            <rFont val="Tahoma"/>
            <family val="2"/>
          </rPr>
          <t xml:space="preserve">
This number is comparable to the gas volume guidance that Sasol normally provides, which is often in the 114-118 bscf range</t>
        </r>
      </text>
    </comment>
    <comment ref="F102" authorId="0" shapeId="0" xr:uid="{00000000-0006-0000-0600-000002000000}">
      <text>
        <r>
          <rPr>
            <b/>
            <sz val="9"/>
            <color indexed="81"/>
            <rFont val="Tahoma"/>
            <family val="2"/>
          </rPr>
          <t>Rawlinson, Johann (J):</t>
        </r>
        <r>
          <rPr>
            <sz val="9"/>
            <color indexed="81"/>
            <rFont val="Tahoma"/>
            <family val="2"/>
          </rPr>
          <t xml:space="preserve">
There are four offtakers under the GSA3, which are 20-year contracts that supply gas to the Mozambique market. These satisfy a licence condition that a portion of gas produced is utilised in-country. The contracts are with Matola Gas Company S.A from 1 July 2014 for 8 PJ/a (7,26 bscf/a), ENH-Kogas from 1 March 2013 for 6 PJ/a (5,44 bscf/a), Central Termica de Ressano  Garcia S.A. for 11 PJ/a (9,98 bscf/a) and ENH effective from 1 June 2015 for 2PJ/a (1,81 bscf/a).</t>
        </r>
      </text>
    </comment>
    <comment ref="E108" authorId="0" shapeId="0" xr:uid="{00000000-0006-0000-0600-000003000000}">
      <text>
        <r>
          <rPr>
            <b/>
            <sz val="9"/>
            <color indexed="81"/>
            <rFont val="Tahoma"/>
            <family val="2"/>
          </rPr>
          <t>Rawlinson, Johann (J):</t>
        </r>
        <r>
          <rPr>
            <sz val="9"/>
            <color indexed="81"/>
            <rFont val="Tahoma"/>
            <family val="2"/>
          </rPr>
          <t xml:space="preserve">
This number is comparable to the capacity of the Rompco Pipeline of 191 bscf/a, as disclosed in the Form 20-F</t>
        </r>
      </text>
    </comment>
    <comment ref="F115" authorId="0" shapeId="0" xr:uid="{00000000-0006-0000-0600-000004000000}">
      <text>
        <r>
          <rPr>
            <b/>
            <sz val="9"/>
            <color indexed="81"/>
            <rFont val="Tahoma"/>
            <family val="2"/>
          </rPr>
          <t>Rawlinson, Johann (J):</t>
        </r>
        <r>
          <rPr>
            <sz val="9"/>
            <color indexed="81"/>
            <rFont val="Tahoma"/>
            <family val="2"/>
          </rPr>
          <t xml:space="preserve">
This asset has been sold, so will see 8 months of P&amp;L in FY21, and nothing thereafter</t>
        </r>
      </text>
    </comment>
    <comment ref="D116" authorId="0" shapeId="0" xr:uid="{00000000-0006-0000-0600-000005000000}">
      <text>
        <r>
          <rPr>
            <b/>
            <sz val="9"/>
            <color indexed="81"/>
            <rFont val="Tahoma"/>
            <family val="2"/>
          </rPr>
          <t>Rawlinson, Johann (J):</t>
        </r>
        <r>
          <rPr>
            <sz val="9"/>
            <color indexed="81"/>
            <rFont val="Tahoma"/>
            <family val="2"/>
          </rPr>
          <t xml:space="preserve">
20-F says ~R239m for Canada in total</t>
        </r>
      </text>
    </comment>
    <comment ref="E116" authorId="0" shapeId="0" xr:uid="{00000000-0006-0000-0600-000006000000}">
      <text>
        <r>
          <rPr>
            <b/>
            <sz val="9"/>
            <color indexed="81"/>
            <rFont val="Tahoma"/>
            <family val="2"/>
          </rPr>
          <t>Rawlinson, Johann (J):</t>
        </r>
        <r>
          <rPr>
            <sz val="9"/>
            <color indexed="81"/>
            <rFont val="Tahoma"/>
            <family val="2"/>
          </rPr>
          <t xml:space="preserve">
20-F says ~R341m for Canada in total</t>
        </r>
      </text>
    </comment>
    <comment ref="C125" authorId="0" shapeId="0" xr:uid="{00000000-0006-0000-0600-000007000000}">
      <text>
        <r>
          <rPr>
            <b/>
            <sz val="9"/>
            <color indexed="81"/>
            <rFont val="Tahoma"/>
            <family val="2"/>
          </rPr>
          <t>Rawlinson, Johann (J):</t>
        </r>
        <r>
          <rPr>
            <sz val="9"/>
            <color indexed="81"/>
            <rFont val="Tahoma"/>
            <family val="2"/>
          </rPr>
          <t xml:space="preserve">
This index determines the maximum allowable price. In practice, Sasol charges less than the maximum. </t>
        </r>
      </text>
    </comment>
    <comment ref="B132" authorId="0" shapeId="0" xr:uid="{00000000-0006-0000-0600-000008000000}">
      <text>
        <r>
          <rPr>
            <b/>
            <sz val="9"/>
            <color indexed="81"/>
            <rFont val="Tahoma"/>
            <family val="2"/>
          </rPr>
          <t>Rawlinson, Johann (J):</t>
        </r>
        <r>
          <rPr>
            <sz val="9"/>
            <color indexed="81"/>
            <rFont val="Tahoma"/>
            <family val="2"/>
          </rPr>
          <t xml:space="preserve">
Disclosed in Form 20-F</t>
        </r>
      </text>
    </comment>
    <comment ref="C136" authorId="0" shapeId="0" xr:uid="{00000000-0006-0000-0600-000009000000}">
      <text>
        <r>
          <rPr>
            <b/>
            <sz val="9"/>
            <color indexed="81"/>
            <rFont val="Tahoma"/>
            <family val="2"/>
          </rPr>
          <t>Rawlinson, Johann (J):</t>
        </r>
        <r>
          <rPr>
            <sz val="9"/>
            <color indexed="81"/>
            <rFont val="Tahoma"/>
            <family val="2"/>
          </rPr>
          <t xml:space="preserve">
Sasol has previously guided to a roughly 50/50 split between these 2 factors</t>
        </r>
      </text>
    </comment>
    <comment ref="B158" authorId="0" shapeId="0" xr:uid="{00000000-0006-0000-0600-00000A000000}">
      <text>
        <r>
          <rPr>
            <b/>
            <sz val="9"/>
            <color indexed="81"/>
            <rFont val="Tahoma"/>
            <family val="2"/>
          </rPr>
          <t>Rawlinson, Johann (J):</t>
        </r>
        <r>
          <rPr>
            <sz val="9"/>
            <color indexed="81"/>
            <rFont val="Tahoma"/>
            <family val="2"/>
          </rPr>
          <t xml:space="preserve">
Suggestion: Make the labour index increase a function of both expected labour inflation and volume variance (number of employees)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Rawlinson, Johann (J)</author>
  </authors>
  <commentList>
    <comment ref="D90" authorId="0" shapeId="0" xr:uid="{00000000-0006-0000-0700-000001000000}">
      <text>
        <r>
          <rPr>
            <b/>
            <sz val="9"/>
            <color indexed="81"/>
            <rFont val="Tahoma"/>
            <family val="2"/>
          </rPr>
          <t>Rawlinson, Johann (J):</t>
        </r>
        <r>
          <rPr>
            <sz val="9"/>
            <color indexed="81"/>
            <rFont val="Tahoma"/>
            <family val="2"/>
          </rPr>
          <t xml:space="preserve">
Sasol has a 70% interest in the unincorporated JV. The remaining 30% is held by CMH (25%) and the IFC (5%). In addition to the Sasol share of gas purchased from the PPA, Sasol also acquires the remaining 30% of gas produced from CMH and IFC on the same terms.</t>
        </r>
      </text>
    </comment>
    <comment ref="E90" authorId="0" shapeId="0" xr:uid="{00000000-0006-0000-0700-000002000000}">
      <text>
        <r>
          <rPr>
            <b/>
            <sz val="9"/>
            <color indexed="81"/>
            <rFont val="Tahoma"/>
            <family val="2"/>
          </rPr>
          <t>Rawlinson, Johann (J):</t>
        </r>
        <r>
          <rPr>
            <sz val="9"/>
            <color indexed="81"/>
            <rFont val="Tahoma"/>
            <family val="2"/>
          </rPr>
          <t xml:space="preserve">
Sasol has a 70% interest in the unincorporated JV. The remaining 30% is held by CMH (25%) and the IFC (5%). In addition to the Sasol share of gas purchased from the PPA, Sasol also acquires the remaining 30% of gas produced from CMH and IFC on the same terms.</t>
        </r>
      </text>
    </comment>
    <comment ref="D99" authorId="0" shapeId="0" xr:uid="{00000000-0006-0000-0700-000003000000}">
      <text>
        <r>
          <rPr>
            <b/>
            <sz val="9"/>
            <color indexed="81"/>
            <rFont val="Tahoma"/>
            <family val="2"/>
          </rPr>
          <t>Rawlinson, Johann (J):</t>
        </r>
        <r>
          <rPr>
            <sz val="9"/>
            <color indexed="81"/>
            <rFont val="Tahoma"/>
            <family val="2"/>
          </rPr>
          <t xml:space="preserve">
Benefitted from energy efficiency tax allowances and a reversal of a tax provision, thus resulting in a very low effective tax rate</t>
        </r>
      </text>
    </comment>
    <comment ref="B105" authorId="0" shapeId="0" xr:uid="{00000000-0006-0000-0700-000004000000}">
      <text>
        <r>
          <rPr>
            <b/>
            <sz val="9"/>
            <color indexed="81"/>
            <rFont val="Tahoma"/>
            <family val="2"/>
          </rPr>
          <t>Rawlinson, Johann (J):</t>
        </r>
        <r>
          <rPr>
            <sz val="9"/>
            <color indexed="81"/>
            <rFont val="Tahoma"/>
            <family val="2"/>
          </rPr>
          <t xml:space="preserve">
This is around $6/bbl, over and above the Basic Fuel Price, and includes things like Transport, Gantry and Admin. Transport is the largest component</t>
        </r>
      </text>
    </comment>
    <comment ref="D106" authorId="0" shapeId="0" xr:uid="{00000000-0006-0000-0700-000005000000}">
      <text>
        <r>
          <rPr>
            <b/>
            <sz val="9"/>
            <color indexed="81"/>
            <rFont val="Tahoma"/>
            <family val="2"/>
          </rPr>
          <t>Rawlinson, Johann (J):</t>
        </r>
        <r>
          <rPr>
            <sz val="9"/>
            <color indexed="81"/>
            <rFont val="Tahoma"/>
            <family val="2"/>
          </rPr>
          <t xml:space="preserve">
Assuming Sasol sells approximately 30% via own network (previously disclosed), and assuming margin is split evenly with dealer (exact arrangement varies)</t>
        </r>
      </text>
    </comment>
    <comment ref="E106" authorId="0" shapeId="0" xr:uid="{00000000-0006-0000-0700-000006000000}">
      <text>
        <r>
          <rPr>
            <b/>
            <sz val="9"/>
            <color indexed="81"/>
            <rFont val="Tahoma"/>
            <family val="2"/>
          </rPr>
          <t>Rawlinson, Johann (J):</t>
        </r>
        <r>
          <rPr>
            <sz val="9"/>
            <color indexed="81"/>
            <rFont val="Tahoma"/>
            <family val="2"/>
          </rPr>
          <t xml:space="preserve">
Assuming Sasol sells approximately 30% via own network (previously disclosed), and assuming margin is split evenly with dealer (exact arrangement varies)</t>
        </r>
      </text>
    </comment>
    <comment ref="D121" authorId="0" shapeId="0" xr:uid="{00000000-0006-0000-0700-000007000000}">
      <text>
        <r>
          <rPr>
            <b/>
            <sz val="9"/>
            <color indexed="81"/>
            <rFont val="Tahoma"/>
            <family val="2"/>
          </rPr>
          <t>Rawlinson, Johann (J):</t>
        </r>
        <r>
          <rPr>
            <sz val="9"/>
            <color indexed="81"/>
            <rFont val="Tahoma"/>
            <family val="2"/>
          </rPr>
          <t xml:space="preserve">
Post Turbo, its approximately 65% petrol and 35% diesel.</t>
        </r>
      </text>
    </comment>
    <comment ref="E121" authorId="0" shapeId="0" xr:uid="{00000000-0006-0000-0700-000008000000}">
      <text>
        <r>
          <rPr>
            <b/>
            <sz val="9"/>
            <color indexed="81"/>
            <rFont val="Tahoma"/>
            <family val="2"/>
          </rPr>
          <t>Rawlinson, Johann (J):</t>
        </r>
        <r>
          <rPr>
            <sz val="9"/>
            <color indexed="81"/>
            <rFont val="Tahoma"/>
            <family val="2"/>
          </rPr>
          <t xml:space="preserve">
Post Turbo, its approximately 65% petrol and 35% diesel.</t>
        </r>
      </text>
    </comment>
    <comment ref="B159" authorId="0" shapeId="0" xr:uid="{00000000-0006-0000-0700-000009000000}">
      <text>
        <r>
          <rPr>
            <b/>
            <sz val="9"/>
            <color indexed="81"/>
            <rFont val="Tahoma"/>
            <family val="2"/>
          </rPr>
          <t>Rawlinson, Johann (J):</t>
        </r>
        <r>
          <rPr>
            <sz val="9"/>
            <color indexed="81"/>
            <rFont val="Tahoma"/>
            <family val="2"/>
          </rPr>
          <t xml:space="preserve">
Suggestion: Make the electricity index a function of price and volume changes</t>
        </r>
      </text>
    </comment>
    <comment ref="B160" authorId="0" shapeId="0" xr:uid="{00000000-0006-0000-0700-00000A000000}">
      <text>
        <r>
          <rPr>
            <b/>
            <sz val="9"/>
            <color indexed="81"/>
            <rFont val="Tahoma"/>
            <family val="2"/>
          </rPr>
          <t>Rawlinson, Johann (J):</t>
        </r>
        <r>
          <rPr>
            <sz val="9"/>
            <color indexed="81"/>
            <rFont val="Tahoma"/>
            <family val="2"/>
          </rPr>
          <t xml:space="preserve">
Suggestion: Make the labour index increase a function of both expected labour inflation and volume variance (number of employees)</t>
        </r>
      </text>
    </comment>
    <comment ref="B169" authorId="0" shapeId="0" xr:uid="{00000000-0006-0000-0700-00000B000000}">
      <text>
        <r>
          <rPr>
            <b/>
            <sz val="9"/>
            <color indexed="81"/>
            <rFont val="Tahoma"/>
            <family val="2"/>
          </rPr>
          <t>Rawlinson, Johann (J):</t>
        </r>
        <r>
          <rPr>
            <sz val="9"/>
            <color indexed="81"/>
            <rFont val="Tahoma"/>
            <family val="2"/>
          </rPr>
          <t xml:space="preserve">
Synfuels capacity is 600MW from coal (via steam) and 200MW from natural gas, so 800MW in total.
Sasolburg capacity is 175MW from SGEPP.
Infrachem capacity is 128MW from coal (via steam)
Total capacity is thus approximately 1103MW.
Note: We do not use all of the installed capacity instantaneously for operations</t>
        </r>
      </text>
    </comment>
    <comment ref="D182" authorId="0" shapeId="0" xr:uid="{00000000-0006-0000-0700-00000C000000}">
      <text>
        <r>
          <rPr>
            <b/>
            <sz val="9"/>
            <color indexed="81"/>
            <rFont val="Tahoma"/>
            <family val="2"/>
          </rPr>
          <t>Rawlinson, Johann (J):</t>
        </r>
        <r>
          <rPr>
            <sz val="9"/>
            <color indexed="81"/>
            <rFont val="Tahoma"/>
            <family val="2"/>
          </rPr>
          <t xml:space="preserve">
During this period only Sasol's share of Oryx GTL profits were taxable at 35%</t>
        </r>
      </text>
    </comment>
    <comment ref="E184" authorId="0" shapeId="0" xr:uid="{00000000-0006-0000-0700-00000D000000}">
      <text>
        <r>
          <rPr>
            <b/>
            <sz val="9"/>
            <color indexed="81"/>
            <rFont val="Tahoma"/>
            <family val="2"/>
          </rPr>
          <t>Rawlinson, Johann (J):</t>
        </r>
        <r>
          <rPr>
            <sz val="9"/>
            <color indexed="81"/>
            <rFont val="Tahoma"/>
            <family val="2"/>
          </rPr>
          <t xml:space="preserve">
FY20 was unusual as there was a change in taw law (QP's share of profits now taxable @ 35% as well) plus some minor permanent differences. Going forward it should approximate 35% tax charge</t>
        </r>
      </text>
    </comment>
    <comment ref="E189" authorId="0" shapeId="0" xr:uid="{00000000-0006-0000-0700-00000E000000}">
      <text>
        <r>
          <rPr>
            <b/>
            <sz val="9"/>
            <color indexed="81"/>
            <rFont val="Tahoma"/>
            <family val="2"/>
          </rPr>
          <t>Rawlinson, Johann (J):</t>
        </r>
        <r>
          <rPr>
            <sz val="9"/>
            <color indexed="81"/>
            <rFont val="Tahoma"/>
            <family val="2"/>
          </rPr>
          <t xml:space="preserve">
See comment above</t>
        </r>
      </text>
    </comment>
    <comment ref="E214" authorId="0" shapeId="0" xr:uid="{00000000-0006-0000-0700-00000F000000}">
      <text>
        <r>
          <rPr>
            <b/>
            <sz val="9"/>
            <color indexed="81"/>
            <rFont val="Tahoma"/>
            <family val="2"/>
          </rPr>
          <t>Rawlinson, Johann (J):</t>
        </r>
        <r>
          <rPr>
            <sz val="9"/>
            <color indexed="81"/>
            <rFont val="Tahoma"/>
            <family val="2"/>
          </rPr>
          <t xml:space="preserve">
This difference mainly had to do with timing. 
Oryx sold most of its product from Jul – Feb (average brent of 62 $/bbl). During the months where Covid-19 lockdown restrictions drove down the price of crude (Mar to June average of 30 $/bbl), Oryx did not have anything to sell.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Rawlinson, Johann (J)</author>
  </authors>
  <commentList>
    <comment ref="D66" authorId="0" shapeId="0" xr:uid="{00000000-0006-0000-0900-000001000000}">
      <text>
        <r>
          <rPr>
            <b/>
            <sz val="9"/>
            <color indexed="81"/>
            <rFont val="Tahoma"/>
            <family val="2"/>
          </rPr>
          <t>Rawlinson, Johann (J):</t>
        </r>
        <r>
          <rPr>
            <sz val="9"/>
            <color indexed="81"/>
            <rFont val="Tahoma"/>
            <family val="2"/>
          </rPr>
          <t xml:space="preserve">
Sasol has a 70% interest in the unincorporated JV. The remaining 30% is held by CMH (25%) and the IFC (5%). In addition to the Sasol share of gas purchased from Gas, Sasol also acquires the remaining 30% of gas produced from CMH and IFC on the same terms.</t>
        </r>
      </text>
    </comment>
    <comment ref="E66" authorId="0" shapeId="0" xr:uid="{00000000-0006-0000-0900-000002000000}">
      <text>
        <r>
          <rPr>
            <b/>
            <sz val="9"/>
            <color indexed="81"/>
            <rFont val="Tahoma"/>
            <family val="2"/>
          </rPr>
          <t>Rawlinson, Johann (J):</t>
        </r>
        <r>
          <rPr>
            <sz val="9"/>
            <color indexed="81"/>
            <rFont val="Tahoma"/>
            <family val="2"/>
          </rPr>
          <t xml:space="preserve">
Sasol has a 70% interest in the unincorporated JV. The remaining 30% is held by CMH (25%) and the IFC (5%). In addition to the Sasol share of gas purchased from EPI, Sasol also acquires the remaining 30% of gas produced from CMH and IFC on the same terms.</t>
        </r>
      </text>
    </comment>
    <comment ref="E92" authorId="0" shapeId="0" xr:uid="{00000000-0006-0000-0900-000003000000}">
      <text>
        <r>
          <rPr>
            <b/>
            <sz val="9"/>
            <color indexed="81"/>
            <rFont val="Tahoma"/>
            <family val="2"/>
          </rPr>
          <t>Rawlinson, Johann (J):</t>
        </r>
        <r>
          <rPr>
            <sz val="9"/>
            <color indexed="81"/>
            <rFont val="Tahoma"/>
            <family val="2"/>
          </rPr>
          <t xml:space="preserve">
The Sasol Africa portfolio contains products like Explosives and Fertilizers under Base Chemicals, for instance, which are lower value</t>
        </r>
      </text>
    </comment>
    <comment ref="C101" authorId="0" shapeId="0" xr:uid="{00000000-0006-0000-0900-000004000000}">
      <text>
        <r>
          <rPr>
            <b/>
            <sz val="9"/>
            <color indexed="81"/>
            <rFont val="Tahoma"/>
            <family val="2"/>
          </rPr>
          <t>Rawlinson, Johann (J):</t>
        </r>
        <r>
          <rPr>
            <sz val="9"/>
            <color indexed="81"/>
            <rFont val="Tahoma"/>
            <family val="2"/>
          </rPr>
          <t xml:space="preserve">
Sasol guidance is 55%-60%</t>
        </r>
      </text>
    </comment>
    <comment ref="B115" authorId="0" shapeId="0" xr:uid="{00000000-0006-0000-0900-000005000000}">
      <text>
        <r>
          <rPr>
            <b/>
            <sz val="9"/>
            <color indexed="81"/>
            <rFont val="Tahoma"/>
            <family val="2"/>
          </rPr>
          <t>Rawlinson, Johann (J):</t>
        </r>
        <r>
          <rPr>
            <sz val="9"/>
            <color indexed="81"/>
            <rFont val="Tahoma"/>
            <family val="2"/>
          </rPr>
          <t xml:space="preserve">
Suggestion: Make the labour index increase a function of both expected labour inflation and volume variance (number of employees)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Rawlinson, Johann (J)</author>
  </authors>
  <commentList>
    <comment ref="B68" authorId="0" shapeId="0" xr:uid="{00000000-0006-0000-0A00-000001000000}">
      <text>
        <r>
          <rPr>
            <b/>
            <sz val="9"/>
            <color indexed="81"/>
            <rFont val="Tahoma"/>
            <family val="2"/>
          </rPr>
          <t>Rawlinson, Johann (J):</t>
        </r>
        <r>
          <rPr>
            <sz val="9"/>
            <color indexed="81"/>
            <rFont val="Tahoma"/>
            <family val="2"/>
          </rPr>
          <t xml:space="preserve">
23% is the normalised effective tax rate for the US chemicals business</t>
        </r>
      </text>
    </comment>
    <comment ref="D86" authorId="0" shapeId="0" xr:uid="{00000000-0006-0000-0A00-000002000000}">
      <text>
        <r>
          <rPr>
            <b/>
            <sz val="9"/>
            <color indexed="81"/>
            <rFont val="Tahoma"/>
            <family val="2"/>
          </rPr>
          <t>Rawlinson, Johann (J):</t>
        </r>
        <r>
          <rPr>
            <sz val="9"/>
            <color indexed="81"/>
            <rFont val="Tahoma"/>
            <family val="2"/>
          </rPr>
          <t xml:space="preserve">
This was prior to LCCP's cracker and polyethylene units ramping up, but included HDPE from Gemini, thus resulting in higher value products driving increased revenue</t>
        </r>
      </text>
    </comment>
    <comment ref="B91" authorId="0" shapeId="0" xr:uid="{00000000-0006-0000-0A00-000003000000}">
      <text>
        <r>
          <rPr>
            <b/>
            <sz val="9"/>
            <color indexed="81"/>
            <rFont val="Tahoma"/>
            <family val="2"/>
          </rPr>
          <t>Rawlinson, Johann (J):</t>
        </r>
        <r>
          <rPr>
            <sz val="9"/>
            <color indexed="81"/>
            <rFont val="Tahoma"/>
            <family val="2"/>
          </rPr>
          <t xml:space="preserve">
Existing cracker can consume around 33 kbbl/day of ethane. Exact numbers have not been disclosed, this is an approximation.</t>
        </r>
      </text>
    </comment>
    <comment ref="E91" authorId="0" shapeId="0" xr:uid="{00000000-0006-0000-0A00-000004000000}">
      <text>
        <r>
          <rPr>
            <b/>
            <sz val="9"/>
            <color indexed="81"/>
            <rFont val="Tahoma"/>
            <family val="2"/>
          </rPr>
          <t>Rawlinson, Johann (J):</t>
        </r>
        <r>
          <rPr>
            <sz val="9"/>
            <color indexed="81"/>
            <rFont val="Tahoma"/>
            <family val="2"/>
          </rPr>
          <t xml:space="preserve">
Exact number has not been disclosed. The "66% average utilisation" is estimated based on what was in the public domain:
Jul - 0% - no BO yet
Aug - 30% - BO achieved
Sep - Nov 60% - ran at ~60% due to catalyst issue
Dec - 0% - cracker catalyst replacement, plant down
Jan - Jun 90% - post catalyst replacement</t>
        </r>
      </text>
    </comment>
    <comment ref="C98" authorId="0" shapeId="0" xr:uid="{00000000-0006-0000-0A00-000005000000}">
      <text>
        <r>
          <rPr>
            <b/>
            <sz val="9"/>
            <color indexed="81"/>
            <rFont val="Tahoma"/>
            <family val="2"/>
          </rPr>
          <t>Rawlinson, Johann (J):</t>
        </r>
        <r>
          <rPr>
            <sz val="9"/>
            <color indexed="81"/>
            <rFont val="Tahoma"/>
            <family val="2"/>
          </rPr>
          <t xml:space="preserve">
Sasol guidance is 60%-70%</t>
        </r>
      </text>
    </comment>
    <comment ref="B112" authorId="0" shapeId="0" xr:uid="{00000000-0006-0000-0A00-000006000000}">
      <text>
        <r>
          <rPr>
            <b/>
            <sz val="9"/>
            <color indexed="81"/>
            <rFont val="Tahoma"/>
            <family val="2"/>
          </rPr>
          <t>Rawlinson, Johann (J):</t>
        </r>
        <r>
          <rPr>
            <sz val="9"/>
            <color indexed="81"/>
            <rFont val="Tahoma"/>
            <family val="2"/>
          </rPr>
          <t xml:space="preserve">
Suggestion: Make the labour index increase a function of both expected labour inflation and volume variance (number of employees)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Rawlinson, Johann (J)</author>
  </authors>
  <commentList>
    <comment ref="E68" authorId="0" shapeId="0" xr:uid="{00000000-0006-0000-0B00-000001000000}">
      <text>
        <r>
          <rPr>
            <b/>
            <sz val="9"/>
            <color indexed="81"/>
            <rFont val="Tahoma"/>
            <family val="2"/>
          </rPr>
          <t>Rawlinson, Johann (J):</t>
        </r>
        <r>
          <rPr>
            <sz val="9"/>
            <color indexed="81"/>
            <rFont val="Tahoma"/>
            <family val="2"/>
          </rPr>
          <t xml:space="preserve">
Negative tax rates mainly due to impairments</t>
        </r>
      </text>
    </comment>
    <comment ref="C95" authorId="0" shapeId="0" xr:uid="{00000000-0006-0000-0B00-000002000000}">
      <text>
        <r>
          <rPr>
            <b/>
            <sz val="9"/>
            <color indexed="81"/>
            <rFont val="Tahoma"/>
            <family val="2"/>
          </rPr>
          <t>Rawlinson, Johann (J):</t>
        </r>
        <r>
          <rPr>
            <sz val="9"/>
            <color indexed="81"/>
            <rFont val="Tahoma"/>
            <family val="2"/>
          </rPr>
          <t xml:space="preserve">
Sasol guidance is 70%-80%</t>
        </r>
      </text>
    </comment>
    <comment ref="B106" authorId="0" shapeId="0" xr:uid="{00000000-0006-0000-0B00-000003000000}">
      <text>
        <r>
          <rPr>
            <b/>
            <sz val="9"/>
            <color indexed="81"/>
            <rFont val="Tahoma"/>
            <family val="2"/>
          </rPr>
          <t>Rawlinson, Johann (J):</t>
        </r>
        <r>
          <rPr>
            <sz val="9"/>
            <color indexed="81"/>
            <rFont val="Tahoma"/>
            <family val="2"/>
          </rPr>
          <t xml:space="preserve">
Suggestion: Make the labour index increase a function of both expected labour inflation and volume variance (number of employees)</t>
        </r>
      </text>
    </comment>
  </commentList>
</comments>
</file>

<file path=xl/sharedStrings.xml><?xml version="1.0" encoding="utf-8"?>
<sst xmlns="http://schemas.openxmlformats.org/spreadsheetml/2006/main" count="1796" uniqueCount="421">
  <si>
    <t>Sasol Limited</t>
  </si>
  <si>
    <t>Assumptions</t>
  </si>
  <si>
    <t>Unit</t>
  </si>
  <si>
    <t>Assumption required by analyst/investor</t>
  </si>
  <si>
    <t>Income statement</t>
  </si>
  <si>
    <t>Total turnover</t>
  </si>
  <si>
    <t>- internal</t>
  </si>
  <si>
    <t>- external</t>
  </si>
  <si>
    <t>Translation gains/(losses)</t>
  </si>
  <si>
    <t>Remeasurement items</t>
  </si>
  <si>
    <t>EBITDA</t>
  </si>
  <si>
    <t>- intersegment</t>
  </si>
  <si>
    <t>Property, plant and equipment</t>
  </si>
  <si>
    <t>Assets under construction</t>
  </si>
  <si>
    <t>Other non current assets</t>
  </si>
  <si>
    <t>Current assets</t>
  </si>
  <si>
    <t>Total external assets</t>
  </si>
  <si>
    <t>Non-current liabilities</t>
  </si>
  <si>
    <t>Current liabilities</t>
  </si>
  <si>
    <t>Total external liabilities</t>
  </si>
  <si>
    <t>Cash flow information</t>
  </si>
  <si>
    <t>Statement of financial position</t>
  </si>
  <si>
    <t>Capital commitment</t>
  </si>
  <si>
    <t>Number of employees</t>
  </si>
  <si>
    <t>US$/bbl</t>
  </si>
  <si>
    <t>R:1US$</t>
  </si>
  <si>
    <t>Oil price (Brent) - avg</t>
  </si>
  <si>
    <t>Primary</t>
  </si>
  <si>
    <t>Secondary</t>
  </si>
  <si>
    <t>R/US$ exchange rate - avg</t>
  </si>
  <si>
    <t>Gas price - Henry Hub</t>
  </si>
  <si>
    <t>US$/mmbtu</t>
  </si>
  <si>
    <t>Coal export price (FOB Richards Bay)</t>
  </si>
  <si>
    <t>US$/ton</t>
  </si>
  <si>
    <t>Sales volumes</t>
  </si>
  <si>
    <t>- external (export)</t>
  </si>
  <si>
    <t>m tons</t>
  </si>
  <si>
    <t>R m</t>
  </si>
  <si>
    <t>Workings</t>
  </si>
  <si>
    <t>- external turnover (expected)</t>
  </si>
  <si>
    <t>%</t>
  </si>
  <si>
    <t>- external turnover (achieved)</t>
  </si>
  <si>
    <t>- premium/(discount)</t>
  </si>
  <si>
    <t>- internal turnover</t>
  </si>
  <si>
    <t>- internal selling price (average)</t>
  </si>
  <si>
    <t>R/ton</t>
  </si>
  <si>
    <t>- % increase/decrease</t>
  </si>
  <si>
    <t>Purchased volumes</t>
  </si>
  <si>
    <t>Escalate by index comprising:</t>
  </si>
  <si>
    <t>- labour</t>
  </si>
  <si>
    <t>- maintenance</t>
  </si>
  <si>
    <t>- other</t>
  </si>
  <si>
    <t>- capex as a % of revenue</t>
  </si>
  <si>
    <t>Blended escalation index</t>
  </si>
  <si>
    <t>Other historical information provided by Sasol</t>
  </si>
  <si>
    <t>- current assets as a % of revenue</t>
  </si>
  <si>
    <t>- current liabilities as a % of revenue</t>
  </si>
  <si>
    <t>analyst to estimate weighting and predict escalations</t>
  </si>
  <si>
    <t>External</t>
  </si>
  <si>
    <t>- natural gas Canada (Sasol's 50% share)</t>
  </si>
  <si>
    <t>- condensate Canada (Sasol's 50% share)</t>
  </si>
  <si>
    <t>mm bbl</t>
  </si>
  <si>
    <t>- condensate Mozambique (Sasol's 70% share)</t>
  </si>
  <si>
    <t>Internal</t>
  </si>
  <si>
    <t>- natural gas Mozambique (Sasol's 70% share)</t>
  </si>
  <si>
    <t>- electricity</t>
  </si>
  <si>
    <t>- coal</t>
  </si>
  <si>
    <t>- rand oil</t>
  </si>
  <si>
    <t xml:space="preserve">   - natural gas Canada</t>
  </si>
  <si>
    <t xml:space="preserve">   - condensate Canada</t>
  </si>
  <si>
    <t xml:space="preserve">   - natural gas Mozambique</t>
  </si>
  <si>
    <t xml:space="preserve">   - condensate Mozambique</t>
  </si>
  <si>
    <t xml:space="preserve">   - crude oil Gabon</t>
  </si>
  <si>
    <t>AECO to Henry Hub discount</t>
  </si>
  <si>
    <t>- total cash costs (turnover less EBITDA, excl. non cash items)</t>
  </si>
  <si>
    <t xml:space="preserve">   - white product</t>
  </si>
  <si>
    <t xml:space="preserve">   - black product</t>
  </si>
  <si>
    <t>bscf</t>
  </si>
  <si>
    <t>West Africa crude oil premium/(discount) to Brent</t>
  </si>
  <si>
    <t>Standard conversion factors</t>
  </si>
  <si>
    <t>1m mmbtu:bscf</t>
  </si>
  <si>
    <t>Condensate premium/(discount) to Brent oil - Canada</t>
  </si>
  <si>
    <t>Condensate premium/(discount) to Brent oil - Mozambique</t>
  </si>
  <si>
    <t>R/scf'000</t>
  </si>
  <si>
    <t>Refining margin - diesel SA</t>
  </si>
  <si>
    <t>Refining margin - petrol SA</t>
  </si>
  <si>
    <t>White product - purchased</t>
  </si>
  <si>
    <t>White product - produced by Synfuels Operations</t>
  </si>
  <si>
    <t>Black product premium/(discount) to Brent oil - SA</t>
  </si>
  <si>
    <t>Purchased product</t>
  </si>
  <si>
    <t>White product - produced by Natref Operations</t>
  </si>
  <si>
    <t>Natref Operations</t>
  </si>
  <si>
    <t>Synfuels Operations (post Project Turbo)</t>
  </si>
  <si>
    <t>White product - Diesel %:</t>
  </si>
  <si>
    <t>White product - Petrol %:</t>
  </si>
  <si>
    <t>White product - Diesel volumes:</t>
  </si>
  <si>
    <t>White product - Petrol volumes:</t>
  </si>
  <si>
    <t>Diesel revenue</t>
  </si>
  <si>
    <t>Petrol revenue</t>
  </si>
  <si>
    <t>Electricity</t>
  </si>
  <si>
    <t>- escalation</t>
  </si>
  <si>
    <t>Rand oil price</t>
  </si>
  <si>
    <t>R/bbl</t>
  </si>
  <si>
    <t>Escalate gas selling price by index comprising:</t>
  </si>
  <si>
    <t xml:space="preserve">   - crude oil</t>
  </si>
  <si>
    <t>Natref crude oil premium/(discount) to Brent</t>
  </si>
  <si>
    <t>- internal turnover as % of external turnover</t>
  </si>
  <si>
    <t>Turnover</t>
  </si>
  <si>
    <t>Depreciation and amortisation</t>
  </si>
  <si>
    <t>Other operating expenses</t>
  </si>
  <si>
    <t>Operating profit</t>
  </si>
  <si>
    <t>Finance income</t>
  </si>
  <si>
    <t>Finance expense</t>
  </si>
  <si>
    <t>Net profit before tax</t>
  </si>
  <si>
    <t>Taxation</t>
  </si>
  <si>
    <t>Profit and total comprehensive income for the year</t>
  </si>
  <si>
    <t>1. Oryx</t>
  </si>
  <si>
    <t xml:space="preserve">   - diesel</t>
  </si>
  <si>
    <t xml:space="preserve">   - naphtha</t>
  </si>
  <si>
    <t xml:space="preserve">   - LPG</t>
  </si>
  <si>
    <t>bbl/day</t>
  </si>
  <si>
    <t>m bbl/year</t>
  </si>
  <si>
    <t>Oryx capacity (100%)</t>
  </si>
  <si>
    <t>Oryx capacity (49%)</t>
  </si>
  <si>
    <t>Utilisation rate</t>
  </si>
  <si>
    <t>Product slate</t>
  </si>
  <si>
    <t>Barrels of product produced</t>
  </si>
  <si>
    <t>Gas</t>
  </si>
  <si>
    <t>Coal</t>
  </si>
  <si>
    <t>Dubai crude oil premium/(discount) to Brent</t>
  </si>
  <si>
    <t>Refining margin - diesel Dubai</t>
  </si>
  <si>
    <t>- external turnover (expected) - 49%</t>
  </si>
  <si>
    <t>- external turnover (achieved) - 100%</t>
  </si>
  <si>
    <t>- external turnover (expected) - 100%</t>
  </si>
  <si>
    <t>Inflation</t>
  </si>
  <si>
    <t>Naphtha premium/(discount) to Dubai oil - Oryx</t>
  </si>
  <si>
    <t>LPG premium/(discount) to Dubai oil - Oryx</t>
  </si>
  <si>
    <t>Additions to PPE (derived)</t>
  </si>
  <si>
    <t>- total cash costs (turnover less EBITDA)</t>
  </si>
  <si>
    <t>Retail margin earned via retail sales</t>
  </si>
  <si>
    <t>Oryx GTL - financial information (on a 100% basis, Sasol holds 49% interest)</t>
  </si>
  <si>
    <t>ktpa</t>
  </si>
  <si>
    <t>Other</t>
  </si>
  <si>
    <t>Financial Summary - Sasol Group</t>
  </si>
  <si>
    <t>EPS information</t>
  </si>
  <si>
    <t>Net finance costs</t>
  </si>
  <si>
    <t>- Finance income</t>
  </si>
  <si>
    <t>- Finance expense</t>
  </si>
  <si>
    <t>Profit before tax</t>
  </si>
  <si>
    <t>Profit for year</t>
  </si>
  <si>
    <t>Attributable to</t>
  </si>
  <si>
    <t>- Owners of Sasol Limited</t>
  </si>
  <si>
    <t>- Non-controlling interests in subsidiaries</t>
  </si>
  <si>
    <t>Per share information</t>
  </si>
  <si>
    <t>- Basic EPS</t>
  </si>
  <si>
    <t>- Diluted EPS</t>
  </si>
  <si>
    <t>- Headline EPS (HEPS)</t>
  </si>
  <si>
    <t>- Diluted HEPS</t>
  </si>
  <si>
    <t>R/sh</t>
  </si>
  <si>
    <t>Number of shares</t>
  </si>
  <si>
    <t>Weighted average number of shares</t>
  </si>
  <si>
    <t>Diluted weighted average number of shares for DEPS</t>
  </si>
  <si>
    <t>m</t>
  </si>
  <si>
    <t>Diluted earnings is determined as follows</t>
  </si>
  <si>
    <t>- Earnings attributable to the owners of Sasol</t>
  </si>
  <si>
    <t>Headline earnings is determined as follows</t>
  </si>
  <si>
    <t>- Adjusted for:</t>
  </si>
  <si>
    <t xml:space="preserve">   - effect of remeasurement items</t>
  </si>
  <si>
    <t>- Finance costs on potentially dilutive shares (Sasol Inzalo share transaction)</t>
  </si>
  <si>
    <t>Error check</t>
  </si>
  <si>
    <t>Total</t>
  </si>
  <si>
    <t>Difference</t>
  </si>
  <si>
    <t>Intergroup - significant feedstock transfers</t>
  </si>
  <si>
    <t>Summary</t>
  </si>
  <si>
    <t>Detail</t>
  </si>
  <si>
    <t>OBU's to SBU's</t>
  </si>
  <si>
    <t>SBU's to OBU's</t>
  </si>
  <si>
    <t>Effective tax rate</t>
  </si>
  <si>
    <t>Production volumes</t>
  </si>
  <si>
    <t>- own mines</t>
  </si>
  <si>
    <t>Assumed external coal purchase price</t>
  </si>
  <si>
    <t>- PPI</t>
  </si>
  <si>
    <t>Breakdown by BU</t>
  </si>
  <si>
    <t>Oryx GTL (49% share)</t>
  </si>
  <si>
    <t>- margin</t>
  </si>
  <si>
    <t>Group margin</t>
  </si>
  <si>
    <t>NOPLAT</t>
  </si>
  <si>
    <t>ROIC calculation</t>
  </si>
  <si>
    <t>Invested capital</t>
  </si>
  <si>
    <t xml:space="preserve">Average invested capital </t>
  </si>
  <si>
    <t>- expected ROIC</t>
  </si>
  <si>
    <t>Operating income</t>
  </si>
  <si>
    <t>Assumptions (not all provided by Sasol)</t>
  </si>
  <si>
    <t xml:space="preserve">   - retail margin achieved via retail network</t>
  </si>
  <si>
    <t>- electricity/other utilities</t>
  </si>
  <si>
    <t>- less: internally generated</t>
  </si>
  <si>
    <t>- equals: net purchases from Eskom</t>
  </si>
  <si>
    <t>Net purchases volume change</t>
  </si>
  <si>
    <t>no.</t>
  </si>
  <si>
    <t>Number of employees increase/(decrease)</t>
  </si>
  <si>
    <t>Employee costs as % of total cash costs</t>
  </si>
  <si>
    <t>mmbtu to bscf</t>
  </si>
  <si>
    <t>- crude oil Gabon (Sasol's 27.75% share)</t>
  </si>
  <si>
    <t>Information provided by Sasol quarterly</t>
  </si>
  <si>
    <t>Cell is formula driven (calculates automatically)</t>
  </si>
  <si>
    <t>MW</t>
  </si>
  <si>
    <t>- total cash costs per barrel (turnover less EBITDA/bbl)</t>
  </si>
  <si>
    <t>- effective tax rate (Oryx only)</t>
  </si>
  <si>
    <t>US$'m</t>
  </si>
  <si>
    <t>- coal (from Mining)</t>
  </si>
  <si>
    <t xml:space="preserve">   - coal (Mining)</t>
  </si>
  <si>
    <t>- variable costs (e.g. continuous miners, support pillars/bolts)</t>
  </si>
  <si>
    <t>- gas feedstock/catalyst</t>
  </si>
  <si>
    <t>- utilities</t>
  </si>
  <si>
    <t>Operating profit/(loss) before remeasurement items and translation gains/(losses)</t>
  </si>
  <si>
    <t>Operating profit before remeasurement items</t>
  </si>
  <si>
    <t>Share of profits of equity accounted JV's, net of tax before remeasurement items</t>
  </si>
  <si>
    <t>Share of profits/(losses) of associates, net of tax</t>
  </si>
  <si>
    <t>Profit/(loss) from operations, joint ventures and associates before remeasurement items</t>
  </si>
  <si>
    <t>Other intangible assets</t>
  </si>
  <si>
    <t>Property, plant and equipment (subsidiaries and joint operations)</t>
  </si>
  <si>
    <t>Property, plant and equipment (equity accounted joint ventures)</t>
  </si>
  <si>
    <t>The group's share of profits of equity accounted JV (Oryx)</t>
  </si>
  <si>
    <t>Capital expenditure (additions to non-current assets)</t>
  </si>
  <si>
    <t>- crude oil (processed)</t>
  </si>
  <si>
    <t>Model</t>
  </si>
  <si>
    <t>Available from public sources, not provided by Sasol</t>
  </si>
  <si>
    <t>- % increase/(decrease)</t>
  </si>
  <si>
    <t>analyst to predict escalations</t>
  </si>
  <si>
    <t>Electricity production</t>
  </si>
  <si>
    <t>- total SA Operations average annual requirement</t>
  </si>
  <si>
    <t>Total white product</t>
  </si>
  <si>
    <t xml:space="preserve">   - natural gas (CMH, IFC)</t>
  </si>
  <si>
    <t>FY18</t>
  </si>
  <si>
    <t>FY19</t>
  </si>
  <si>
    <t>FY20</t>
  </si>
  <si>
    <t>EBIT</t>
  </si>
  <si>
    <t>Mining</t>
  </si>
  <si>
    <t>Share based payment</t>
  </si>
  <si>
    <t>Amortisation of intangibles</t>
  </si>
  <si>
    <t>US ethane - Mt Belvieu (purity)</t>
  </si>
  <si>
    <t>cpg (US$)</t>
  </si>
  <si>
    <t>Randoil</t>
  </si>
  <si>
    <t>Change in discount rate of rehab provisions</t>
  </si>
  <si>
    <t>EBITDA (adjusted)</t>
  </si>
  <si>
    <t>Mark to market of hedges</t>
  </si>
  <si>
    <t>Oryx GTL tax rate (Sasol share only)</t>
  </si>
  <si>
    <t>Depreciation</t>
  </si>
  <si>
    <t>Revenue</t>
  </si>
  <si>
    <t>- revenue from total sales - expected</t>
  </si>
  <si>
    <t>- revenue from total sales - achieved</t>
  </si>
  <si>
    <t xml:space="preserve"> - South Africa</t>
  </si>
  <si>
    <t xml:space="preserve"> - USA</t>
  </si>
  <si>
    <t xml:space="preserve"> - South Africa labour inflation over CPI</t>
  </si>
  <si>
    <t>Gas price index (RSA only)</t>
  </si>
  <si>
    <t>Gallons per ton</t>
  </si>
  <si>
    <t>1 ton: lbs</t>
  </si>
  <si>
    <t>1 ton: US gallon</t>
  </si>
  <si>
    <t>1 bbl: US gallon</t>
  </si>
  <si>
    <t>Gallons per barrel</t>
  </si>
  <si>
    <t>Crude oil and oil related - fossil fuels</t>
  </si>
  <si>
    <t>- Advanced Materials</t>
  </si>
  <si>
    <t>Operating profit before share based payments</t>
  </si>
  <si>
    <t>- Dividend per share</t>
  </si>
  <si>
    <t>- Dividend / HEPS ratio</t>
  </si>
  <si>
    <t xml:space="preserve">times </t>
  </si>
  <si>
    <t>Depreciation as a % of revenue</t>
  </si>
  <si>
    <t>- internal (to Fuels)</t>
  </si>
  <si>
    <t>- natural gas Mozambique (to Fuels)</t>
  </si>
  <si>
    <t>- natural gas Mozambique (to Chemicals South Africa)</t>
  </si>
  <si>
    <t>- natural gas - South Africa (Sasol's 70% share)</t>
  </si>
  <si>
    <t>m bbl</t>
  </si>
  <si>
    <t xml:space="preserve">   - natural gas South Africa</t>
  </si>
  <si>
    <t xml:space="preserve">   - methane rich gas South Africa</t>
  </si>
  <si>
    <t>Version history</t>
  </si>
  <si>
    <t>Disclaimer:</t>
  </si>
  <si>
    <t>Escalate gas selling price by index comprising (Moz):</t>
  </si>
  <si>
    <t>Sasol external natural gas selling price (Moz.)</t>
  </si>
  <si>
    <t>Sasol external natural gas selling price (SA)</t>
  </si>
  <si>
    <t>Synfuels production</t>
  </si>
  <si>
    <t>- Fuels</t>
  </si>
  <si>
    <t>- Chemicals</t>
  </si>
  <si>
    <t>kt</t>
  </si>
  <si>
    <t>Synfuels total refined product</t>
  </si>
  <si>
    <t>- own capacity</t>
  </si>
  <si>
    <t>- own production</t>
  </si>
  <si>
    <t>Natref</t>
  </si>
  <si>
    <t>- production</t>
  </si>
  <si>
    <t>- white product yield</t>
  </si>
  <si>
    <t>- total product yield</t>
  </si>
  <si>
    <t>- total SA operations average annual requirement</t>
  </si>
  <si>
    <t>Oryx</t>
  </si>
  <si>
    <t>- utilisation of nameplate capacity</t>
  </si>
  <si>
    <t>External purchases (white product)</t>
  </si>
  <si>
    <t>Sales</t>
  </si>
  <si>
    <t>- Liquid fuels - white product</t>
  </si>
  <si>
    <t>- Liquid fuels - black product</t>
  </si>
  <si>
    <t>Purchases</t>
  </si>
  <si>
    <t>- natural gas (from Gas)</t>
  </si>
  <si>
    <t>- natural gas (from Moz, not via Gas)</t>
  </si>
  <si>
    <t xml:space="preserve">   - natural gas (Gas)</t>
  </si>
  <si>
    <t>Pounds per ton</t>
  </si>
  <si>
    <t>litres: bbl</t>
  </si>
  <si>
    <t>Litres per barrel</t>
  </si>
  <si>
    <t>Fuels</t>
  </si>
  <si>
    <t>External Sales Volumes (by business)</t>
  </si>
  <si>
    <t>- Base Chemicals</t>
  </si>
  <si>
    <t>- Essential Care</t>
  </si>
  <si>
    <t>- Performance Solutions</t>
  </si>
  <si>
    <t>External Sales Revenue</t>
  </si>
  <si>
    <t>$'m</t>
  </si>
  <si>
    <t>Chemicals SA sales basket price</t>
  </si>
  <si>
    <t>Mining to Fuels - Coal</t>
  </si>
  <si>
    <t>Fuels from Mining - Coal</t>
  </si>
  <si>
    <t>Mining/Fuels</t>
  </si>
  <si>
    <t>Gas/Fuels</t>
  </si>
  <si>
    <t>Gas to Fuels - Natural Gas</t>
  </si>
  <si>
    <t>Fuels from Gas - Natural Gas</t>
  </si>
  <si>
    <t>Chemicals  - general</t>
  </si>
  <si>
    <t>(¹) Includes US ethylene, co-products sales and LLDPE, LDPE volumes sold by Equistar Chemicals LP on behalf of Sasol</t>
  </si>
  <si>
    <t xml:space="preserve">(²) Includes the sale of explosives products to Enaex Africa (Pty) Ltd. &amp; excludes sales of sulphur transferred to Energy </t>
  </si>
  <si>
    <t>(³) Includes sales of Phenolics, Ammonia, Speciality Gases, MEG and Methanol</t>
  </si>
  <si>
    <t>(⁴) Includes sales of Comonomers, Speciality Alcohols &amp; Surfactants</t>
  </si>
  <si>
    <t>Selected Sales volumes (by product grouping)</t>
  </si>
  <si>
    <t xml:space="preserve">  - Polymers (¹)</t>
  </si>
  <si>
    <t xml:space="preserve">  - Fertiliser &amp; Explosives (²)</t>
  </si>
  <si>
    <t xml:space="preserve">  - Other (³)</t>
  </si>
  <si>
    <t xml:space="preserve">  - Solvents</t>
  </si>
  <si>
    <t xml:space="preserve">  - Wax</t>
  </si>
  <si>
    <t xml:space="preserve">  - Other (⁴)</t>
  </si>
  <si>
    <t>Average selling price by business</t>
  </si>
  <si>
    <t>Expected revenue by business</t>
  </si>
  <si>
    <t>Chemicals Eurasia</t>
  </si>
  <si>
    <t>Chemicals Eurasia sales basket price</t>
  </si>
  <si>
    <t>Chemicals America</t>
  </si>
  <si>
    <t>Chemicals America sales basket price</t>
  </si>
  <si>
    <t>Estimated external purchases</t>
  </si>
  <si>
    <t xml:space="preserve">   - US ethane (external)</t>
  </si>
  <si>
    <t>- internal sales (Secunda/Sasolburg) - Sasol's 70%</t>
  </si>
  <si>
    <t>- internal sales from Gas to Fuels &amp; Chem SA (Secunda/Sasolburg) - Sasol's 70%</t>
  </si>
  <si>
    <t>- external purchases (by Sasol from our outside shareholders) - remaining 30%</t>
  </si>
  <si>
    <r>
      <t xml:space="preserve">Total </t>
    </r>
    <r>
      <rPr>
        <i/>
        <sz val="10"/>
        <color theme="1"/>
        <rFont val="Arial"/>
        <family val="2"/>
      </rPr>
      <t>(comparable to Sasol volume guidance provided)</t>
    </r>
  </si>
  <si>
    <r>
      <t xml:space="preserve">Total </t>
    </r>
    <r>
      <rPr>
        <i/>
        <sz val="10"/>
        <color theme="1"/>
        <rFont val="Arial"/>
        <family val="2"/>
      </rPr>
      <t>(comparable to pipeline capacity quoted in Form 20-F)</t>
    </r>
  </si>
  <si>
    <t xml:space="preserve">Gas "mass balance" clarifications: </t>
  </si>
  <si>
    <t>external revenue</t>
  </si>
  <si>
    <t>internal revenue</t>
  </si>
  <si>
    <t>Illustration 1: This is if you look at it from the perspective of Sasol's 70% ownership in PPA</t>
  </si>
  <si>
    <t>- natural gas Mozambique (outside shareholders' 30% share)</t>
  </si>
  <si>
    <t>not reflected in Sasol's revenue, but takes up pipeline capacity</t>
  </si>
  <si>
    <t>external revenue for Sasol, but does not flow through ROMPCO pipeline hence excluded here</t>
  </si>
  <si>
    <t>not in Gas numbers, but will show up in Fuels/Chem SA's costs</t>
  </si>
  <si>
    <t>- royalty gas to Moz government, at 5%, in cash or in kind</t>
  </si>
  <si>
    <t>limited to 6PJ/a, balance paid in cash at wellhead</t>
  </si>
  <si>
    <t>external revenue, GSA3 contract</t>
  </si>
  <si>
    <t>Illustration 3: This is if you look at it from the perspective of ROMPCO pipeline capacity</t>
  </si>
  <si>
    <t>Illustration 2: This is if you look at it from the perspective of what Sasol either uses internally, or sells, in South Africa</t>
  </si>
  <si>
    <t>External sales</t>
  </si>
  <si>
    <t>Internally used</t>
  </si>
  <si>
    <t>A</t>
  </si>
  <si>
    <t>B</t>
  </si>
  <si>
    <t>- internal sales from Gas to Fuels - Sasol's 70%</t>
  </si>
  <si>
    <t>- internal sales from Gas to Chem SA (Secunda/Sasolburg) - Sasol's 70%</t>
  </si>
  <si>
    <t>= A + B</t>
  </si>
  <si>
    <t>from Mozambique</t>
  </si>
  <si>
    <t>MRG is a by-product of the Fischer-Tropsch process; we use some internally and sell remainder externally</t>
  </si>
  <si>
    <t>US$/scf'000</t>
  </si>
  <si>
    <t>Corporate Centre</t>
  </si>
  <si>
    <t>P60 to P58 applicable discount</t>
  </si>
  <si>
    <t>Right of use assets</t>
  </si>
  <si>
    <t>Potential dilutive effect of long term incentive scheme</t>
  </si>
  <si>
    <t>Potential dilutive effect of Sasol Khanyisa Tier 1</t>
  </si>
  <si>
    <t>Diluted earnings</t>
  </si>
  <si>
    <t>- Adjustments</t>
  </si>
  <si>
    <t>Diluted weighted effect</t>
  </si>
  <si>
    <t xml:space="preserve">   - tax effect thereon and non controlling interest effect</t>
  </si>
  <si>
    <t>Diluted headline earnings/(loss)</t>
  </si>
  <si>
    <t>Mark to market of hedges/translation</t>
  </si>
  <si>
    <t>Chemicals Africa</t>
  </si>
  <si>
    <t>`</t>
  </si>
  <si>
    <t>Mining/Chemicals Africa</t>
  </si>
  <si>
    <t>Mining to Chemicals Africa - Coal</t>
  </si>
  <si>
    <t>Chemicals Africa from Mining - Coal</t>
  </si>
  <si>
    <t>Gas/Chemicals Africa</t>
  </si>
  <si>
    <t>Gas to Chemicals Africa - Natural Gas</t>
  </si>
  <si>
    <t>Chemicals Africa from Gas - Natural Gas</t>
  </si>
  <si>
    <t>Mining to Fuels &amp; Chemicals Africa</t>
  </si>
  <si>
    <t>Fuels &amp; Chemicals Africa from Mining</t>
  </si>
  <si>
    <t>Gas to Fuels &amp; Chemicals Africa</t>
  </si>
  <si>
    <t>Fuels &amp; Chemicals Africa from Gas</t>
  </si>
  <si>
    <t>Legend</t>
  </si>
  <si>
    <t xml:space="preserve">   - BFP additions</t>
  </si>
  <si>
    <t>- internal (to Chemicals Africa)</t>
  </si>
  <si>
    <t>Earnings/(loss) before interest and tax (EBIT/LBIT)</t>
  </si>
  <si>
    <t>- operating costs for hydrocarbon production</t>
  </si>
  <si>
    <t>- exploration costs</t>
  </si>
  <si>
    <t>- US ethane</t>
  </si>
  <si>
    <t>Gross margin</t>
  </si>
  <si>
    <t>- total variable costs</t>
  </si>
  <si>
    <t>- remaining variable costs</t>
  </si>
  <si>
    <t>- total cash fixed costs</t>
  </si>
  <si>
    <t>Cash fixed costs</t>
  </si>
  <si>
    <t xml:space="preserve">This model is intended as a tool to assist analysts/investors with understanding Sasol Limited's new operating structure. This is not a valuation model. However, by modifying the model you can convert it into a valuation model if you so choose.
Sasol may, in this document, make certain statements that are not merely historical facts but relate to analyses and other information, and certain assumptions and simplifications made in this regard. 
By their very nature, valuations involve inherent risks and uncertainties, both general and specific, and outcomes and conclusions vary between different valuation methods available and the precision of the relevant input data. If one or more of these risks materialise, or should underlying assumptions prove incorrect, a valuation may differ materially from those anticipated. Many of the historical operational inputs are indicative as opposed to exact, and are intended to act as a guide only. You should understand that a number of important factors could impact the correctness of a valuation. These factors, among others, are discussed more fully in our most recent annual report under the Securities Exchange Act of 1934 on Form 20-F filed on 24 August 2020 and in other filings with the United States Securities and Exchange Commission. The list of factors discussed therein is not exhaustive; and you should not rely on this model alone, even if modified by you, to make investment decisions. 
This model applies only as of the date on which it is made, and we do not undertake any obligation to update or revise it, whether as a result of new information, future events or otherwise.
</t>
  </si>
  <si>
    <t>v1: As published on 29 April 2021</t>
  </si>
  <si>
    <t>R/EUR exchange rate - avg</t>
  </si>
  <si>
    <t>R:1EUR</t>
  </si>
  <si>
    <t>EUR'm</t>
  </si>
  <si>
    <t>- natural gas - South Africa (100% share)</t>
  </si>
  <si>
    <t xml:space="preserve">   - coal (external)</t>
  </si>
  <si>
    <t>- less: Selected purchases</t>
  </si>
  <si>
    <t>- total variable costs (cost of goods sold)</t>
  </si>
  <si>
    <t>Information provided by Sasol semi-annually</t>
  </si>
  <si>
    <t>Information provided by Sasol once in Business Overview Document</t>
  </si>
  <si>
    <t>- normalised cash cost/production ton (per Sasol)</t>
  </si>
  <si>
    <t>- cash cost/production ton (estimated)</t>
  </si>
  <si>
    <t>Sales revenue</t>
  </si>
  <si>
    <t>Average selling price per product category</t>
  </si>
  <si>
    <t>- total feedstock and conversion costs as a % of cash costs</t>
  </si>
  <si>
    <t>- methane rich gas - South Africa (Sasol's 100% share)</t>
  </si>
  <si>
    <t>v2: Exclude Oryx earnings from "Fuels" EBITDA when deriving "cash costs" figure</t>
  </si>
  <si>
    <t xml:space="preserve">      Clarify MRG is 100% Sasol</t>
  </si>
  <si>
    <t xml:space="preserve">      Align Canada revenue (gas and condensate) calculation on "Gas" to Schedule G-3 disclosure in Form 20-F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</si>
</sst>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_);_(* \(#,##0\);_(* &quot;-&quot;??_);_(@_)"/>
    <numFmt numFmtId="166" formatCode="0.0%"/>
  </numFmts>
  <fonts count="1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theme="0"/>
      <name val="Arial"/>
      <family val="2"/>
    </font>
    <font>
      <b/>
      <sz val="14"/>
      <color theme="0"/>
      <name val="Arial"/>
      <family val="2"/>
    </font>
    <font>
      <b/>
      <sz val="12"/>
      <color theme="0"/>
      <name val="Arial"/>
      <family val="2"/>
    </font>
    <font>
      <i/>
      <sz val="10"/>
      <color theme="1"/>
      <name val="Arial"/>
      <family val="2"/>
    </font>
    <font>
      <sz val="10"/>
      <name val="Arial"/>
      <family val="2"/>
    </font>
    <font>
      <b/>
      <i/>
      <sz val="10"/>
      <color theme="1"/>
      <name val="Arial"/>
      <family val="2"/>
    </font>
    <font>
      <sz val="10"/>
      <color theme="0" tint="-0.34998626667073579"/>
      <name val="Arial"/>
      <family val="2"/>
    </font>
    <font>
      <sz val="10"/>
      <color theme="1"/>
      <name val="Calibri"/>
      <family val="2"/>
      <scheme val="minor"/>
    </font>
    <font>
      <sz val="9"/>
      <color indexed="81"/>
      <name val="Tahoma"/>
      <family val="2"/>
    </font>
    <font>
      <b/>
      <sz val="9"/>
      <color indexed="81"/>
      <name val="Tahoma"/>
      <family val="2"/>
    </font>
    <font>
      <b/>
      <sz val="10"/>
      <color indexed="8"/>
      <name val="Arial"/>
      <family val="2"/>
    </font>
    <font>
      <sz val="10"/>
      <color indexed="8"/>
      <name val="Arial"/>
      <family val="2"/>
    </font>
    <font>
      <sz val="10"/>
      <color rgb="FFFF0000"/>
      <name val="Arial"/>
      <family val="2"/>
    </font>
    <font>
      <b/>
      <sz val="10"/>
      <name val="Arial"/>
      <family val="2"/>
    </font>
    <font>
      <i/>
      <sz val="10"/>
      <color theme="0" tint="-0.34998626667073579"/>
      <name val="Arial"/>
      <family val="2"/>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43" fontId="8" fillId="0" borderId="0" applyFont="0" applyFill="0" applyBorder="0" applyAlignment="0" applyProtection="0"/>
    <xf numFmtId="9" fontId="8" fillId="0" borderId="0" applyFont="0" applyFill="0" applyBorder="0" applyAlignment="0" applyProtection="0"/>
    <xf numFmtId="0" fontId="8" fillId="0" borderId="0"/>
  </cellStyleXfs>
  <cellXfs count="177">
    <xf numFmtId="0" fontId="0" fillId="0" borderId="0" xfId="0"/>
    <xf numFmtId="0" fontId="2" fillId="2" borderId="0" xfId="0" applyFont="1" applyFill="1"/>
    <xf numFmtId="0" fontId="3" fillId="2" borderId="0" xfId="0" applyFont="1" applyFill="1"/>
    <xf numFmtId="0" fontId="5" fillId="3" borderId="0" xfId="0" applyFont="1" applyFill="1"/>
    <xf numFmtId="0" fontId="6" fillId="3" borderId="0" xfId="0" applyFont="1" applyFill="1"/>
    <xf numFmtId="0" fontId="4" fillId="3" borderId="0" xfId="0" applyFont="1" applyFill="1" applyAlignment="1">
      <alignment horizontal="right"/>
    </xf>
    <xf numFmtId="0" fontId="5" fillId="2" borderId="0" xfId="0" applyFont="1" applyFill="1"/>
    <xf numFmtId="0" fontId="6" fillId="2" borderId="0" xfId="0" applyFont="1" applyFill="1"/>
    <xf numFmtId="0" fontId="2" fillId="4" borderId="0" xfId="0" applyFont="1" applyFill="1"/>
    <xf numFmtId="0" fontId="2" fillId="2" borderId="0" xfId="0" quotePrefix="1" applyFont="1" applyFill="1"/>
    <xf numFmtId="43" fontId="2" fillId="2" borderId="0" xfId="1" applyFont="1" applyFill="1"/>
    <xf numFmtId="164" fontId="2" fillId="2" borderId="0" xfId="1" applyNumberFormat="1" applyFont="1" applyFill="1"/>
    <xf numFmtId="165" fontId="2" fillId="2" borderId="0" xfId="1" applyNumberFormat="1" applyFont="1" applyFill="1"/>
    <xf numFmtId="0" fontId="2" fillId="2" borderId="1" xfId="0" quotePrefix="1" applyFont="1" applyFill="1" applyBorder="1"/>
    <xf numFmtId="165" fontId="2" fillId="2" borderId="2" xfId="1" applyNumberFormat="1" applyFont="1" applyFill="1" applyBorder="1"/>
    <xf numFmtId="0" fontId="2" fillId="2" borderId="3" xfId="0" quotePrefix="1" applyFont="1" applyFill="1" applyBorder="1"/>
    <xf numFmtId="0" fontId="2" fillId="2" borderId="4" xfId="0" applyFont="1" applyFill="1" applyBorder="1"/>
    <xf numFmtId="165" fontId="2" fillId="2" borderId="4" xfId="1" applyNumberFormat="1" applyFont="1" applyFill="1" applyBorder="1"/>
    <xf numFmtId="165" fontId="3" fillId="2" borderId="0" xfId="1" applyNumberFormat="1" applyFont="1" applyFill="1"/>
    <xf numFmtId="0" fontId="3" fillId="2" borderId="5" xfId="0" applyFont="1" applyFill="1" applyBorder="1"/>
    <xf numFmtId="165" fontId="3" fillId="2" borderId="5" xfId="1" applyNumberFormat="1" applyFont="1" applyFill="1" applyBorder="1"/>
    <xf numFmtId="0" fontId="5" fillId="2" borderId="0" xfId="0" applyFont="1" applyFill="1" applyAlignment="1">
      <alignment horizontal="center"/>
    </xf>
    <xf numFmtId="0" fontId="6" fillId="2" borderId="0" xfId="0" applyFont="1" applyFill="1" applyAlignment="1">
      <alignment horizontal="center"/>
    </xf>
    <xf numFmtId="0" fontId="4" fillId="3" borderId="0" xfId="0"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applyAlignment="1">
      <alignment horizontal="center"/>
    </xf>
    <xf numFmtId="0" fontId="2" fillId="2" borderId="0" xfId="0" applyFont="1" applyFill="1" applyBorder="1" applyAlignment="1">
      <alignment horizontal="center"/>
    </xf>
    <xf numFmtId="165" fontId="2" fillId="2" borderId="0" xfId="1" applyNumberFormat="1" applyFont="1" applyFill="1" applyBorder="1"/>
    <xf numFmtId="165" fontId="2" fillId="2" borderId="0" xfId="0" applyNumberFormat="1" applyFont="1" applyFill="1"/>
    <xf numFmtId="9" fontId="2" fillId="2" borderId="0" xfId="2" applyFont="1" applyFill="1"/>
    <xf numFmtId="164" fontId="2" fillId="4" borderId="0" xfId="1" applyNumberFormat="1" applyFont="1" applyFill="1"/>
    <xf numFmtId="164" fontId="2" fillId="4" borderId="4" xfId="1" applyNumberFormat="1" applyFont="1" applyFill="1" applyBorder="1"/>
    <xf numFmtId="43" fontId="2" fillId="4" borderId="0" xfId="1" applyFont="1" applyFill="1"/>
    <xf numFmtId="164" fontId="2" fillId="2" borderId="0" xfId="0" applyNumberFormat="1" applyFont="1" applyFill="1"/>
    <xf numFmtId="0" fontId="7" fillId="2" borderId="0" xfId="0" applyFont="1" applyFill="1" applyAlignment="1">
      <alignment horizontal="left"/>
    </xf>
    <xf numFmtId="9" fontId="2" fillId="2" borderId="0" xfId="0" applyNumberFormat="1" applyFont="1" applyFill="1"/>
    <xf numFmtId="0" fontId="4" fillId="5" borderId="0" xfId="0" applyFont="1" applyFill="1"/>
    <xf numFmtId="9" fontId="2" fillId="4" borderId="0" xfId="2" applyFont="1" applyFill="1" applyBorder="1"/>
    <xf numFmtId="0" fontId="2" fillId="2" borderId="0" xfId="0" quotePrefix="1" applyFont="1" applyFill="1" applyBorder="1"/>
    <xf numFmtId="0" fontId="2" fillId="2" borderId="0" xfId="0" applyFont="1" applyFill="1" applyBorder="1"/>
    <xf numFmtId="0" fontId="3" fillId="2" borderId="0" xfId="0" quotePrefix="1" applyFont="1" applyFill="1"/>
    <xf numFmtId="9" fontId="7" fillId="2" borderId="0" xfId="0" applyNumberFormat="1" applyFont="1" applyFill="1" applyAlignment="1">
      <alignment horizontal="center"/>
    </xf>
    <xf numFmtId="164" fontId="3" fillId="2" borderId="0" xfId="1" applyNumberFormat="1" applyFont="1" applyFill="1"/>
    <xf numFmtId="164" fontId="2" fillId="2" borderId="4" xfId="0" applyNumberFormat="1" applyFont="1" applyFill="1" applyBorder="1"/>
    <xf numFmtId="165" fontId="2" fillId="2" borderId="4" xfId="0" applyNumberFormat="1" applyFont="1" applyFill="1" applyBorder="1"/>
    <xf numFmtId="165" fontId="2" fillId="2" borderId="0" xfId="0" applyNumberFormat="1" applyFont="1" applyFill="1" applyBorder="1"/>
    <xf numFmtId="9" fontId="8" fillId="2" borderId="0" xfId="2" applyFont="1" applyFill="1"/>
    <xf numFmtId="0" fontId="3" fillId="2" borderId="2" xfId="0" applyFont="1" applyFill="1" applyBorder="1"/>
    <xf numFmtId="0" fontId="3" fillId="2" borderId="2" xfId="0" applyFont="1" applyFill="1" applyBorder="1" applyAlignment="1">
      <alignment horizontal="center"/>
    </xf>
    <xf numFmtId="165" fontId="2" fillId="4" borderId="0" xfId="1" applyNumberFormat="1" applyFont="1" applyFill="1"/>
    <xf numFmtId="165" fontId="2" fillId="4" borderId="4" xfId="1" applyNumberFormat="1" applyFont="1" applyFill="1" applyBorder="1"/>
    <xf numFmtId="164" fontId="2" fillId="2" borderId="0" xfId="1" applyNumberFormat="1" applyFont="1" applyFill="1" applyBorder="1"/>
    <xf numFmtId="9" fontId="2" fillId="2" borderId="0" xfId="2" applyFont="1" applyFill="1" applyBorder="1"/>
    <xf numFmtId="9" fontId="2" fillId="2" borderId="4" xfId="2" applyFont="1" applyFill="1" applyBorder="1"/>
    <xf numFmtId="164" fontId="2" fillId="2" borderId="4" xfId="1" applyNumberFormat="1" applyFont="1" applyFill="1" applyBorder="1"/>
    <xf numFmtId="0" fontId="9" fillId="2" borderId="0" xfId="0" applyFont="1" applyFill="1"/>
    <xf numFmtId="165" fontId="2" fillId="2" borderId="6" xfId="1" applyNumberFormat="1" applyFont="1" applyFill="1" applyBorder="1"/>
    <xf numFmtId="165" fontId="2" fillId="4" borderId="0" xfId="1" applyNumberFormat="1" applyFont="1" applyFill="1" applyBorder="1"/>
    <xf numFmtId="165" fontId="3" fillId="2" borderId="0" xfId="0" applyNumberFormat="1" applyFont="1" applyFill="1"/>
    <xf numFmtId="0" fontId="3" fillId="2" borderId="4" xfId="0" applyFont="1" applyFill="1" applyBorder="1"/>
    <xf numFmtId="0" fontId="3" fillId="2" borderId="4" xfId="0" applyFont="1" applyFill="1" applyBorder="1" applyAlignment="1">
      <alignment horizontal="center"/>
    </xf>
    <xf numFmtId="165" fontId="3" fillId="2" borderId="4" xfId="0" applyNumberFormat="1" applyFont="1" applyFill="1" applyBorder="1"/>
    <xf numFmtId="0" fontId="2" fillId="2" borderId="4" xfId="0" quotePrefix="1" applyFont="1" applyFill="1" applyBorder="1"/>
    <xf numFmtId="165" fontId="3" fillId="2" borderId="5" xfId="0" applyNumberFormat="1" applyFont="1" applyFill="1" applyBorder="1"/>
    <xf numFmtId="164" fontId="3" fillId="2" borderId="5" xfId="1" applyNumberFormat="1" applyFont="1" applyFill="1" applyBorder="1"/>
    <xf numFmtId="0" fontId="3" fillId="2" borderId="5" xfId="0" quotePrefix="1" applyFont="1" applyFill="1" applyBorder="1"/>
    <xf numFmtId="0" fontId="10" fillId="2" borderId="0" xfId="0" quotePrefix="1" applyFont="1" applyFill="1"/>
    <xf numFmtId="0" fontId="10" fillId="2" borderId="0" xfId="0" applyFont="1" applyFill="1" applyAlignment="1">
      <alignment horizontal="center"/>
    </xf>
    <xf numFmtId="166" fontId="10" fillId="2" borderId="0" xfId="2" applyNumberFormat="1" applyFont="1" applyFill="1"/>
    <xf numFmtId="0" fontId="10" fillId="2" borderId="0" xfId="0" applyFont="1" applyFill="1"/>
    <xf numFmtId="9" fontId="2" fillId="2" borderId="0" xfId="0" applyNumberFormat="1" applyFont="1" applyFill="1" applyAlignment="1">
      <alignment horizontal="center"/>
    </xf>
    <xf numFmtId="166" fontId="2" fillId="2" borderId="0" xfId="2" applyNumberFormat="1" applyFont="1" applyFill="1"/>
    <xf numFmtId="165" fontId="2" fillId="4" borderId="2" xfId="1" applyNumberFormat="1" applyFont="1" applyFill="1" applyBorder="1"/>
    <xf numFmtId="0" fontId="2" fillId="6" borderId="0" xfId="0" applyFont="1" applyFill="1"/>
    <xf numFmtId="0" fontId="2" fillId="7" borderId="0" xfId="0" applyFont="1" applyFill="1"/>
    <xf numFmtId="164" fontId="2" fillId="6" borderId="0" xfId="1" applyNumberFormat="1" applyFont="1" applyFill="1"/>
    <xf numFmtId="164" fontId="2" fillId="6" borderId="2" xfId="1" applyNumberFormat="1" applyFont="1" applyFill="1" applyBorder="1"/>
    <xf numFmtId="164" fontId="2" fillId="6" borderId="0" xfId="1" applyNumberFormat="1" applyFont="1" applyFill="1" applyBorder="1"/>
    <xf numFmtId="164" fontId="2" fillId="6" borderId="4" xfId="1" applyNumberFormat="1" applyFont="1" applyFill="1" applyBorder="1"/>
    <xf numFmtId="9" fontId="7" fillId="7" borderId="0" xfId="0" applyNumberFormat="1" applyFont="1" applyFill="1" applyAlignment="1">
      <alignment horizontal="center"/>
    </xf>
    <xf numFmtId="166" fontId="2" fillId="7" borderId="0" xfId="0" applyNumberFormat="1" applyFont="1" applyFill="1"/>
    <xf numFmtId="9" fontId="2" fillId="7" borderId="0" xfId="0" applyNumberFormat="1" applyFont="1" applyFill="1"/>
    <xf numFmtId="165" fontId="2" fillId="4" borderId="0" xfId="0" applyNumberFormat="1" applyFont="1" applyFill="1"/>
    <xf numFmtId="165" fontId="2" fillId="4" borderId="4" xfId="0" applyNumberFormat="1" applyFont="1" applyFill="1" applyBorder="1"/>
    <xf numFmtId="164" fontId="2" fillId="7" borderId="0" xfId="1" applyNumberFormat="1" applyFont="1" applyFill="1"/>
    <xf numFmtId="43" fontId="3" fillId="2" borderId="0" xfId="1" applyFont="1" applyFill="1" applyAlignment="1">
      <alignment horizontal="center"/>
    </xf>
    <xf numFmtId="43" fontId="2" fillId="2" borderId="0" xfId="0" applyNumberFormat="1" applyFont="1" applyFill="1"/>
    <xf numFmtId="9" fontId="8" fillId="7" borderId="0" xfId="2" applyFont="1" applyFill="1"/>
    <xf numFmtId="165" fontId="3" fillId="2" borderId="2" xfId="1" applyNumberFormat="1" applyFont="1" applyFill="1" applyBorder="1"/>
    <xf numFmtId="165" fontId="2" fillId="6" borderId="0" xfId="1" applyNumberFormat="1" applyFont="1" applyFill="1"/>
    <xf numFmtId="0" fontId="3" fillId="2" borderId="0" xfId="0" quotePrefix="1" applyFont="1" applyFill="1" applyBorder="1"/>
    <xf numFmtId="0" fontId="14" fillId="2" borderId="0" xfId="0" applyFont="1" applyFill="1"/>
    <xf numFmtId="0" fontId="14" fillId="2" borderId="0" xfId="0" applyFont="1" applyFill="1" applyAlignment="1">
      <alignment horizontal="center"/>
    </xf>
    <xf numFmtId="165" fontId="14" fillId="2" borderId="0" xfId="1" applyNumberFormat="1" applyFont="1" applyFill="1"/>
    <xf numFmtId="0" fontId="15" fillId="2" borderId="0" xfId="0" applyFont="1" applyFill="1"/>
    <xf numFmtId="165" fontId="15" fillId="2" borderId="0" xfId="1" applyNumberFormat="1" applyFont="1" applyFill="1"/>
    <xf numFmtId="0" fontId="15" fillId="2" borderId="4" xfId="0" applyFont="1" applyFill="1" applyBorder="1"/>
    <xf numFmtId="165" fontId="15" fillId="4" borderId="0" xfId="1" applyNumberFormat="1" applyFont="1" applyFill="1"/>
    <xf numFmtId="165" fontId="15" fillId="4" borderId="4" xfId="1" applyNumberFormat="1" applyFont="1" applyFill="1" applyBorder="1"/>
    <xf numFmtId="9" fontId="2" fillId="4" borderId="4" xfId="2" applyFont="1" applyFill="1" applyBorder="1"/>
    <xf numFmtId="0" fontId="2" fillId="8" borderId="0" xfId="0" applyFont="1" applyFill="1"/>
    <xf numFmtId="43" fontId="2" fillId="8" borderId="0" xfId="1" applyFont="1" applyFill="1"/>
    <xf numFmtId="43" fontId="2" fillId="8" borderId="0" xfId="1" applyNumberFormat="1" applyFont="1" applyFill="1"/>
    <xf numFmtId="9" fontId="2" fillId="8" borderId="0" xfId="0" applyNumberFormat="1" applyFont="1" applyFill="1"/>
    <xf numFmtId="164" fontId="2" fillId="8" borderId="0" xfId="1" applyNumberFormat="1" applyFont="1" applyFill="1"/>
    <xf numFmtId="164" fontId="3" fillId="2" borderId="6" xfId="0" applyNumberFormat="1" applyFont="1" applyFill="1" applyBorder="1"/>
    <xf numFmtId="43" fontId="2" fillId="6" borderId="0" xfId="1" applyNumberFormat="1" applyFont="1" applyFill="1"/>
    <xf numFmtId="43" fontId="2" fillId="2" borderId="0" xfId="1" applyFont="1" applyFill="1" applyBorder="1"/>
    <xf numFmtId="0" fontId="2" fillId="2" borderId="6" xfId="0" applyFont="1" applyFill="1" applyBorder="1"/>
    <xf numFmtId="0" fontId="8" fillId="2" borderId="0" xfId="0" applyFont="1" applyFill="1" applyAlignment="1">
      <alignment horizontal="center"/>
    </xf>
    <xf numFmtId="43" fontId="16" fillId="8" borderId="0" xfId="1" applyFont="1" applyFill="1"/>
    <xf numFmtId="164" fontId="16" fillId="4" borderId="0" xfId="1" applyNumberFormat="1" applyFont="1" applyFill="1"/>
    <xf numFmtId="9" fontId="16" fillId="8" borderId="0" xfId="2" applyFont="1" applyFill="1"/>
    <xf numFmtId="0" fontId="7" fillId="2" borderId="0" xfId="0" applyFont="1" applyFill="1"/>
    <xf numFmtId="0" fontId="7" fillId="2" borderId="0" xfId="0" applyFont="1" applyFill="1" applyAlignment="1">
      <alignment horizontal="center"/>
    </xf>
    <xf numFmtId="165" fontId="7" fillId="2" borderId="0" xfId="1" applyNumberFormat="1" applyFont="1" applyFill="1"/>
    <xf numFmtId="9" fontId="16" fillId="2" borderId="0" xfId="2" applyFont="1" applyFill="1"/>
    <xf numFmtId="0" fontId="7" fillId="2" borderId="0" xfId="0" quotePrefix="1" applyFont="1" applyFill="1"/>
    <xf numFmtId="165" fontId="2" fillId="2" borderId="0" xfId="2" applyNumberFormat="1" applyFont="1" applyFill="1"/>
    <xf numFmtId="165" fontId="8" fillId="4" borderId="4" xfId="1" applyNumberFormat="1" applyFont="1" applyFill="1" applyBorder="1"/>
    <xf numFmtId="165" fontId="2" fillId="8" borderId="0" xfId="1" applyNumberFormat="1" applyFont="1" applyFill="1"/>
    <xf numFmtId="43" fontId="8" fillId="4" borderId="0" xfId="1" applyFont="1" applyFill="1"/>
    <xf numFmtId="9" fontId="8" fillId="8" borderId="0" xfId="2" applyFont="1" applyFill="1"/>
    <xf numFmtId="0" fontId="8" fillId="2" borderId="4" xfId="0" applyFont="1" applyFill="1" applyBorder="1" applyAlignment="1">
      <alignment horizontal="center"/>
    </xf>
    <xf numFmtId="0" fontId="8" fillId="2" borderId="0" xfId="0" quotePrefix="1" applyFont="1" applyFill="1"/>
    <xf numFmtId="0" fontId="18" fillId="2" borderId="0" xfId="0" quotePrefix="1" applyFont="1" applyFill="1"/>
    <xf numFmtId="0" fontId="18" fillId="2" borderId="0" xfId="0" applyFont="1" applyFill="1" applyAlignment="1">
      <alignment horizontal="center"/>
    </xf>
    <xf numFmtId="166" fontId="18" fillId="2" borderId="0" xfId="2" applyNumberFormat="1" applyFont="1" applyFill="1"/>
    <xf numFmtId="0" fontId="18" fillId="2" borderId="0" xfId="0" applyFont="1" applyFill="1"/>
    <xf numFmtId="0" fontId="16" fillId="2" borderId="0" xfId="0" applyFont="1" applyFill="1"/>
    <xf numFmtId="0" fontId="2" fillId="2" borderId="5" xfId="0" quotePrefix="1" applyFont="1" applyFill="1" applyBorder="1"/>
    <xf numFmtId="0" fontId="2" fillId="2" borderId="5" xfId="0" applyFont="1" applyFill="1" applyBorder="1" applyAlignment="1">
      <alignment horizontal="center"/>
    </xf>
    <xf numFmtId="165" fontId="2" fillId="2" borderId="5" xfId="1" applyNumberFormat="1" applyFont="1" applyFill="1" applyBorder="1"/>
    <xf numFmtId="165" fontId="8" fillId="2" borderId="0" xfId="1" applyNumberFormat="1" applyFont="1" applyFill="1"/>
    <xf numFmtId="165" fontId="16" fillId="2" borderId="0" xfId="1" applyNumberFormat="1" applyFont="1" applyFill="1"/>
    <xf numFmtId="0" fontId="8" fillId="2" borderId="4" xfId="0" applyFont="1" applyFill="1" applyBorder="1"/>
    <xf numFmtId="165" fontId="8" fillId="2" borderId="0" xfId="0" applyNumberFormat="1" applyFont="1" applyFill="1"/>
    <xf numFmtId="0" fontId="8" fillId="2" borderId="4" xfId="0" quotePrefix="1" applyFont="1" applyFill="1" applyBorder="1"/>
    <xf numFmtId="0" fontId="3" fillId="2" borderId="0" xfId="0" applyFont="1" applyFill="1" applyAlignment="1">
      <alignment horizontal="center"/>
    </xf>
    <xf numFmtId="165" fontId="2" fillId="6" borderId="0" xfId="1" applyNumberFormat="1" applyFont="1" applyFill="1" applyBorder="1"/>
    <xf numFmtId="9" fontId="2" fillId="6" borderId="0" xfId="2" applyFont="1" applyFill="1" applyBorder="1"/>
    <xf numFmtId="166" fontId="2" fillId="6" borderId="0" xfId="2" applyNumberFormat="1" applyFont="1" applyFill="1" applyBorder="1"/>
    <xf numFmtId="43" fontId="8" fillId="8" borderId="0" xfId="1" applyFont="1" applyFill="1"/>
    <xf numFmtId="164" fontId="8" fillId="4" borderId="0" xfId="1" applyNumberFormat="1" applyFont="1" applyFill="1"/>
    <xf numFmtId="165" fontId="17" fillId="2" borderId="5" xfId="1" applyNumberFormat="1" applyFont="1" applyFill="1" applyBorder="1"/>
    <xf numFmtId="0" fontId="2" fillId="2" borderId="6" xfId="0" quotePrefix="1" applyFont="1" applyFill="1" applyBorder="1"/>
    <xf numFmtId="0" fontId="2" fillId="2" borderId="6" xfId="0" applyFont="1" applyFill="1" applyBorder="1" applyAlignment="1">
      <alignment horizontal="center"/>
    </xf>
    <xf numFmtId="165" fontId="2" fillId="6" borderId="6" xfId="1" applyNumberFormat="1" applyFont="1" applyFill="1" applyBorder="1"/>
    <xf numFmtId="43" fontId="8" fillId="4" borderId="0" xfId="1" applyNumberFormat="1" applyFont="1" applyFill="1"/>
    <xf numFmtId="43" fontId="8" fillId="8" borderId="0" xfId="1" applyNumberFormat="1" applyFont="1" applyFill="1"/>
    <xf numFmtId="165" fontId="2" fillId="2" borderId="2" xfId="0" applyNumberFormat="1" applyFont="1" applyFill="1" applyBorder="1"/>
    <xf numFmtId="165" fontId="7" fillId="2" borderId="0" xfId="1" applyNumberFormat="1" applyFont="1" applyFill="1" applyBorder="1"/>
    <xf numFmtId="165" fontId="2" fillId="2" borderId="9" xfId="1" applyNumberFormat="1" applyFont="1" applyFill="1" applyBorder="1"/>
    <xf numFmtId="165" fontId="2" fillId="2" borderId="10" xfId="1" applyNumberFormat="1" applyFont="1" applyFill="1" applyBorder="1"/>
    <xf numFmtId="165" fontId="2" fillId="2" borderId="11" xfId="1" applyNumberFormat="1" applyFont="1" applyFill="1" applyBorder="1"/>
    <xf numFmtId="165" fontId="2" fillId="2" borderId="0" xfId="1" quotePrefix="1" applyNumberFormat="1" applyFont="1" applyFill="1"/>
    <xf numFmtId="165" fontId="8" fillId="4" borderId="0" xfId="1" applyNumberFormat="1" applyFont="1" applyFill="1"/>
    <xf numFmtId="164" fontId="16" fillId="7" borderId="0" xfId="1" applyNumberFormat="1" applyFont="1" applyFill="1"/>
    <xf numFmtId="164" fontId="8" fillId="7" borderId="0" xfId="1" applyNumberFormat="1" applyFont="1" applyFill="1"/>
    <xf numFmtId="0" fontId="8" fillId="2" borderId="0" xfId="0" applyFont="1" applyFill="1"/>
    <xf numFmtId="43" fontId="8" fillId="2" borderId="0" xfId="1" applyFont="1" applyFill="1"/>
    <xf numFmtId="165" fontId="8" fillId="6" borderId="0" xfId="1" applyNumberFormat="1" applyFont="1" applyFill="1"/>
    <xf numFmtId="9" fontId="8" fillId="4" borderId="0" xfId="2" applyFont="1" applyFill="1" applyBorder="1"/>
    <xf numFmtId="165" fontId="8" fillId="4" borderId="0" xfId="1" applyNumberFormat="1" applyFont="1" applyFill="1" applyBorder="1"/>
    <xf numFmtId="165" fontId="8" fillId="2" borderId="0" xfId="1" applyNumberFormat="1" applyFont="1" applyFill="1" applyBorder="1"/>
    <xf numFmtId="165" fontId="2" fillId="2" borderId="6" xfId="0" applyNumberFormat="1" applyFont="1" applyFill="1" applyBorder="1"/>
    <xf numFmtId="9" fontId="8" fillId="2" borderId="0" xfId="2" applyNumberFormat="1" applyFont="1" applyFill="1"/>
    <xf numFmtId="0" fontId="2" fillId="9" borderId="0" xfId="0" applyFont="1" applyFill="1"/>
    <xf numFmtId="9" fontId="7" fillId="9" borderId="0" xfId="0" applyNumberFormat="1" applyFont="1" applyFill="1" applyAlignment="1">
      <alignment horizontal="center"/>
    </xf>
    <xf numFmtId="0" fontId="4" fillId="2" borderId="0" xfId="0" applyFont="1" applyFill="1" applyAlignment="1">
      <alignment horizontal="center"/>
    </xf>
    <xf numFmtId="0" fontId="4" fillId="2" borderId="0" xfId="0" applyFont="1" applyFill="1" applyAlignment="1">
      <alignment horizontal="right"/>
    </xf>
    <xf numFmtId="0" fontId="2" fillId="2" borderId="8"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cellXfs>
  <cellStyles count="7">
    <cellStyle name="Comma" xfId="1" builtinId="3"/>
    <cellStyle name="Comma 2" xfId="4" xr:uid="{00000000-0005-0000-0000-000001000000}"/>
    <cellStyle name="Normal" xfId="0" builtinId="0"/>
    <cellStyle name="Normal 2" xfId="6" xr:uid="{00000000-0005-0000-0000-000003000000}"/>
    <cellStyle name="Normal 4" xfId="3" xr:uid="{00000000-0005-0000-0000-000004000000}"/>
    <cellStyle name="Percent" xfId="2" builtinId="5"/>
    <cellStyle name="Percent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DIND\ADREVTRD\advolK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asol-my.sharepoint.com/Users/rawlinj1/Desktop/Johann%20Rawlinson/Current%20work/Project%20Aquila/Valuation%20info/LCCP%20final%20model%2020191127%20-%20Acquila%20Rev1.0%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asol-my.sharepoint.com/Users/rawlinj1/Desktop/Johann%20Rawlinson/Investor%20Relations/Excel%20models/4.%20Sasol%20Limited%20-%20model_websit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DP forecast"/>
      <sheetName val="Global"/>
      <sheetName val="Summary"/>
      <sheetName val="ADVOL"/>
      <sheetName val="GDP-Advol"/>
      <sheetName val="Recession Periods"/>
      <sheetName val="Industry forecasts"/>
      <sheetName val="Corp Profits"/>
      <sheetName val="New Regressions."/>
      <sheetName val="Sheet2"/>
      <sheetName val="NewCharts"/>
      <sheetName val="OrgG vs. x"/>
      <sheetName val="R2"/>
      <sheetName val="OMC vs. GDP"/>
      <sheetName val="Charts"/>
      <sheetName val="Regression Output"/>
      <sheetName val="Class"/>
      <sheetName val="Medium Adoption"/>
      <sheetName val="NRT%PCE%"/>
      <sheetName val="Recovered_Sheet1"/>
      <sheetName val="Recovered_Sheet2"/>
      <sheetName val="Recovered_Sheet3"/>
      <sheetName val="Recovered_Sheet4"/>
      <sheetName val="Recovered_Sheet5"/>
      <sheetName val="ADVGDP"/>
      <sheetName val="Recovered_Sheet6"/>
      <sheetName val="Recovered_Sheet7"/>
      <sheetName val="Recovered_Sheet8"/>
      <sheetName val="Recovered_Sheet9"/>
      <sheetName val="Sheet1"/>
      <sheetName val="Net Trade"/>
      <sheetName val="advolKP"/>
      <sheetName val="BC Data Page"/>
      <sheetName val="DCF"/>
      <sheetName val="Revenue"/>
      <sheetName val="WYE Revenue"/>
      <sheetName val="Cookbook"/>
      <sheetName val="Geos"/>
      <sheetName val="OFF-UTIL.XLS"/>
      <sheetName val="Cost"/>
      <sheetName val="main"/>
    </sheetNames>
    <sheetDataSet>
      <sheetData sheetId="0"/>
      <sheetData sheetId="1" refreshError="1"/>
      <sheetData sheetId="2" refreshError="1"/>
      <sheetData sheetId="3" refreshError="1">
        <row r="23">
          <cell r="A23">
            <v>60</v>
          </cell>
          <cell r="S23">
            <v>909</v>
          </cell>
          <cell r="AD23">
            <v>2100</v>
          </cell>
        </row>
        <row r="24">
          <cell r="S24">
            <v>895</v>
          </cell>
          <cell r="AD24">
            <v>2053</v>
          </cell>
        </row>
        <row r="25">
          <cell r="S25">
            <v>942</v>
          </cell>
          <cell r="AD25">
            <v>2103</v>
          </cell>
        </row>
        <row r="26">
          <cell r="S26">
            <v>1002</v>
          </cell>
          <cell r="AD26">
            <v>2211</v>
          </cell>
        </row>
        <row r="27">
          <cell r="S27">
            <v>1074</v>
          </cell>
          <cell r="AD27">
            <v>2344</v>
          </cell>
        </row>
        <row r="28">
          <cell r="A28">
            <v>65</v>
          </cell>
          <cell r="S28">
            <v>1161</v>
          </cell>
          <cell r="AD28">
            <v>2429</v>
          </cell>
        </row>
        <row r="29">
          <cell r="S29">
            <v>1254</v>
          </cell>
          <cell r="AD29">
            <v>2645</v>
          </cell>
        </row>
        <row r="30">
          <cell r="S30">
            <v>1245</v>
          </cell>
          <cell r="AD30">
            <v>2760</v>
          </cell>
          <cell r="AG30">
            <v>1.1452282157676349E-2</v>
          </cell>
        </row>
        <row r="31">
          <cell r="S31">
            <v>1283</v>
          </cell>
          <cell r="AD31">
            <v>2919</v>
          </cell>
          <cell r="AG31">
            <v>1.101093926820068E-2</v>
          </cell>
        </row>
        <row r="32">
          <cell r="S32">
            <v>1344</v>
          </cell>
          <cell r="AD32">
            <v>3166</v>
          </cell>
          <cell r="AG32">
            <v>1.1112671112671113E-2</v>
          </cell>
        </row>
        <row r="33">
          <cell r="A33">
            <v>70</v>
          </cell>
          <cell r="S33">
            <v>1292</v>
          </cell>
          <cell r="AD33">
            <v>3292</v>
          </cell>
          <cell r="AG33">
            <v>1.0622781542433042E-2</v>
          </cell>
        </row>
        <row r="34">
          <cell r="S34">
            <v>1370</v>
          </cell>
          <cell r="AD34">
            <v>3565</v>
          </cell>
          <cell r="AG34">
            <v>1.0692861427714457E-2</v>
          </cell>
        </row>
        <row r="35">
          <cell r="S35">
            <v>1440</v>
          </cell>
          <cell r="AD35">
            <v>3964</v>
          </cell>
          <cell r="AG35">
            <v>1.0824685963954124E-2</v>
          </cell>
        </row>
        <row r="36">
          <cell r="S36">
            <v>1448</v>
          </cell>
          <cell r="AD36">
            <v>4245</v>
          </cell>
          <cell r="AG36">
            <v>1.042997542997543E-2</v>
          </cell>
        </row>
        <row r="37">
          <cell r="S37">
            <v>1504</v>
          </cell>
          <cell r="AD37">
            <v>4563</v>
          </cell>
          <cell r="AG37">
            <v>1.0265466816647919E-2</v>
          </cell>
        </row>
        <row r="38">
          <cell r="A38">
            <v>75</v>
          </cell>
          <cell r="S38">
            <v>1465</v>
          </cell>
          <cell r="AD38">
            <v>4966</v>
          </cell>
          <cell r="AG38">
            <v>1.0328618968386024E-2</v>
          </cell>
        </row>
        <row r="39">
          <cell r="S39">
            <v>1789</v>
          </cell>
          <cell r="AD39">
            <v>5668</v>
          </cell>
          <cell r="AG39">
            <v>1.0771569745343976E-2</v>
          </cell>
        </row>
        <row r="40">
          <cell r="S40">
            <v>2162</v>
          </cell>
          <cell r="AD40">
            <v>6241</v>
          </cell>
          <cell r="AG40">
            <v>1.0903214535290006E-2</v>
          </cell>
        </row>
        <row r="41">
          <cell r="S41">
            <v>2597</v>
          </cell>
          <cell r="AD41">
            <v>7023</v>
          </cell>
          <cell r="AG41">
            <v>1.1038981452373467E-2</v>
          </cell>
        </row>
        <row r="42">
          <cell r="S42">
            <v>2932</v>
          </cell>
          <cell r="AD42">
            <v>7845</v>
          </cell>
          <cell r="AG42">
            <v>1.0921620492830294E-2</v>
          </cell>
        </row>
        <row r="43">
          <cell r="A43">
            <v>80</v>
          </cell>
          <cell r="S43">
            <v>3149</v>
          </cell>
          <cell r="AD43">
            <v>8609</v>
          </cell>
          <cell r="AG43">
            <v>1.0853504790721129E-2</v>
          </cell>
        </row>
        <row r="44">
          <cell r="S44">
            <v>3533</v>
          </cell>
          <cell r="AD44">
            <v>9686</v>
          </cell>
          <cell r="AG44">
            <v>1.1304855275443511E-2</v>
          </cell>
        </row>
        <row r="45">
          <cell r="S45">
            <v>3710</v>
          </cell>
          <cell r="AD45">
            <v>10390</v>
          </cell>
          <cell r="AG45">
            <v>1.1856670090151775E-2</v>
          </cell>
        </row>
        <row r="46">
          <cell r="S46">
            <v>4233</v>
          </cell>
          <cell r="AD46">
            <v>11841</v>
          </cell>
          <cell r="AG46">
            <v>1.259412890874282E-2</v>
          </cell>
        </row>
        <row r="47">
          <cell r="S47">
            <v>4932</v>
          </cell>
          <cell r="AD47">
            <v>12784</v>
          </cell>
          <cell r="AG47">
            <v>1.2587632926348956E-2</v>
          </cell>
        </row>
        <row r="48">
          <cell r="A48">
            <v>85</v>
          </cell>
          <cell r="S48">
            <v>5155</v>
          </cell>
          <cell r="AD48">
            <v>13443</v>
          </cell>
          <cell r="AG48">
            <v>1.2542451949990669E-2</v>
          </cell>
        </row>
        <row r="49">
          <cell r="S49">
            <v>5317</v>
          </cell>
          <cell r="AD49">
            <v>14311</v>
          </cell>
          <cell r="AG49">
            <v>1.273787271918113E-2</v>
          </cell>
        </row>
        <row r="50">
          <cell r="A50" t="str">
            <v>*</v>
          </cell>
          <cell r="S50">
            <v>5607</v>
          </cell>
          <cell r="AD50">
            <v>15227</v>
          </cell>
          <cell r="AG50">
            <v>1.2706108144192256E-2</v>
          </cell>
        </row>
        <row r="51">
          <cell r="S51">
            <v>6072</v>
          </cell>
          <cell r="AD51">
            <v>15790</v>
          </cell>
          <cell r="AG51">
            <v>1.228698155785542E-2</v>
          </cell>
        </row>
        <row r="52">
          <cell r="S52">
            <v>6716</v>
          </cell>
          <cell r="AD52">
            <v>16504</v>
          </cell>
          <cell r="AG52">
            <v>1.1992442958872257E-2</v>
          </cell>
        </row>
        <row r="53">
          <cell r="A53">
            <v>90</v>
          </cell>
          <cell r="S53">
            <v>6803</v>
          </cell>
          <cell r="AD53">
            <v>16652</v>
          </cell>
          <cell r="AG53">
            <v>1.1389097872922509E-2</v>
          </cell>
        </row>
        <row r="54">
          <cell r="S54">
            <v>6524</v>
          </cell>
          <cell r="AD54">
            <v>15838</v>
          </cell>
          <cell r="AG54">
            <v>1.0614570069030226E-2</v>
          </cell>
        </row>
        <row r="55">
          <cell r="AD55">
            <v>16041</v>
          </cell>
          <cell r="AG55">
            <v>1.0312439729990356E-2</v>
          </cell>
        </row>
        <row r="56">
          <cell r="AD56">
            <v>16859</v>
          </cell>
          <cell r="AG56">
            <v>1.0360742379547689E-2</v>
          </cell>
        </row>
        <row r="57">
          <cell r="AD57">
            <v>17496</v>
          </cell>
        </row>
        <row r="58">
          <cell r="A58">
            <v>95</v>
          </cell>
        </row>
        <row r="97">
          <cell r="A97">
            <v>3.0241570956973777E-2</v>
          </cell>
          <cell r="C97">
            <v>6.1224489795918435E-2</v>
          </cell>
          <cell r="F97">
            <v>3.9084090011843653E-2</v>
          </cell>
          <cell r="AD97">
            <v>4.2701092353525372E-2</v>
          </cell>
        </row>
        <row r="98">
          <cell r="A98">
            <v>2.4562577922619396E-2</v>
          </cell>
          <cell r="C98">
            <v>-8.3612040133779209E-3</v>
          </cell>
          <cell r="F98">
            <v>3.476443768996984E-2</v>
          </cell>
          <cell r="AD98">
            <v>-2.238095238095239E-2</v>
          </cell>
        </row>
        <row r="99">
          <cell r="A99">
            <v>8.7776156599963184E-2</v>
          </cell>
          <cell r="C99">
            <v>4.8060708263069074E-2</v>
          </cell>
          <cell r="F99">
            <v>7.5087203965485516E-2</v>
          </cell>
          <cell r="AD99">
            <v>2.4354603019970833E-2</v>
          </cell>
        </row>
        <row r="100">
          <cell r="A100">
            <v>5.6837686080547206E-2</v>
          </cell>
          <cell r="C100">
            <v>5.3901850362027437E-2</v>
          </cell>
          <cell r="F100">
            <v>5.4815573770491843E-2</v>
          </cell>
          <cell r="AD100">
            <v>5.1355206847360835E-2</v>
          </cell>
        </row>
        <row r="101">
          <cell r="A101">
            <v>8.5752581828302116E-2</v>
          </cell>
          <cell r="C101">
            <v>8.0152671755725269E-2</v>
          </cell>
          <cell r="F101">
            <v>7.4307916464303014E-2</v>
          </cell>
          <cell r="AD101">
            <v>6.0153776571687079E-2</v>
          </cell>
        </row>
        <row r="102">
          <cell r="A102">
            <v>9.9262789904728255E-2</v>
          </cell>
          <cell r="C102">
            <v>7.7738515901060179E-2</v>
          </cell>
          <cell r="F102">
            <v>8.3634719710669048E-2</v>
          </cell>
          <cell r="AD102">
            <v>3.6262798634812299E-2</v>
          </cell>
        </row>
        <row r="103">
          <cell r="A103">
            <v>0.11350162625722696</v>
          </cell>
          <cell r="C103">
            <v>9.0491803278688554E-2</v>
          </cell>
          <cell r="F103">
            <v>9.5536086775135587E-2</v>
          </cell>
          <cell r="AD103">
            <v>8.8925483738163891E-2</v>
          </cell>
        </row>
        <row r="104">
          <cell r="A104">
            <v>5.1033616764092987E-2</v>
          </cell>
          <cell r="C104">
            <v>1.4431749849669329E-2</v>
          </cell>
          <cell r="F104">
            <v>5.6867225184056958E-2</v>
          </cell>
          <cell r="AD104">
            <v>4.3478260869565188E-2</v>
          </cell>
        </row>
        <row r="105">
          <cell r="A105">
            <v>0.1030616610895152</v>
          </cell>
          <cell r="C105">
            <v>7.2317723770005893E-2</v>
          </cell>
          <cell r="F105">
            <v>9.2961806389622925E-2</v>
          </cell>
          <cell r="AD105">
            <v>5.7608695652173969E-2</v>
          </cell>
        </row>
        <row r="106">
          <cell r="A106">
            <v>8.2670216612308736E-2</v>
          </cell>
          <cell r="C106">
            <v>7.3521282476506356E-2</v>
          </cell>
          <cell r="F106">
            <v>8.1978021978021953E-2</v>
          </cell>
          <cell r="AD106">
            <v>8.4618019869818539E-2</v>
          </cell>
        </row>
        <row r="107">
          <cell r="A107">
            <v>3.8261477176089048E-2</v>
          </cell>
          <cell r="C107">
            <v>6.6941297631308849E-3</v>
          </cell>
          <cell r="F107">
            <v>5.4743042860044611E-2</v>
          </cell>
          <cell r="AD107">
            <v>3.9797852179406235E-2</v>
          </cell>
        </row>
        <row r="108">
          <cell r="A108">
            <v>8.7745635270153749E-2</v>
          </cell>
          <cell r="C108">
            <v>5.8823529411764719E-2</v>
          </cell>
          <cell r="F108">
            <v>8.531535869041873E-2</v>
          </cell>
          <cell r="AD108">
            <v>8.2928311057108184E-2</v>
          </cell>
        </row>
        <row r="109">
          <cell r="A109">
            <v>0.11174043914574178</v>
          </cell>
          <cell r="C109">
            <v>0.12125603864734291</v>
          </cell>
          <cell r="F109">
            <v>9.8660278591074402E-2</v>
          </cell>
          <cell r="AD109">
            <v>0.11192145862552594</v>
          </cell>
        </row>
        <row r="110">
          <cell r="A110">
            <v>0.13461889453371273</v>
          </cell>
          <cell r="C110">
            <v>7.6260232658336813E-2</v>
          </cell>
          <cell r="F110">
            <v>0.11661148348542372</v>
          </cell>
          <cell r="AD110">
            <v>7.0887991927346183E-2</v>
          </cell>
        </row>
        <row r="111">
          <cell r="A111">
            <v>7.0187954271903566E-2</v>
          </cell>
          <cell r="C111">
            <v>6.5652522017614068E-2</v>
          </cell>
          <cell r="F111">
            <v>8.4834020394879639E-2</v>
          </cell>
          <cell r="AD111">
            <v>7.4911660777385203E-2</v>
          </cell>
        </row>
        <row r="112">
          <cell r="A112">
            <v>8.0096365219001764E-2</v>
          </cell>
          <cell r="C112">
            <v>4.8084147257700938E-2</v>
          </cell>
          <cell r="F112">
            <v>9.220000000000006E-2</v>
          </cell>
          <cell r="AD112">
            <v>8.8319088319088301E-2</v>
          </cell>
        </row>
        <row r="113">
          <cell r="A113">
            <v>0.12984866721448751</v>
          </cell>
          <cell r="C113">
            <v>0.19354838709677424</v>
          </cell>
          <cell r="F113">
            <v>0.11414270890557288</v>
          </cell>
          <cell r="AD113">
            <v>0.1413612565445026</v>
          </cell>
        </row>
        <row r="114">
          <cell r="A114">
            <v>0.12497089141205892</v>
          </cell>
          <cell r="C114">
            <v>0.12432432432432439</v>
          </cell>
          <cell r="F114">
            <v>0.11263901824357658</v>
          </cell>
          <cell r="AD114">
            <v>0.10109386026817213</v>
          </cell>
        </row>
        <row r="115">
          <cell r="A115">
            <v>0.14917452879586512</v>
          </cell>
          <cell r="C115">
            <v>0.15731837606837606</v>
          </cell>
          <cell r="F115">
            <v>0.12989315081983333</v>
          </cell>
          <cell r="AD115">
            <v>0.12530043262297719</v>
          </cell>
        </row>
        <row r="116">
          <cell r="A116">
            <v>0.12367821955322018</v>
          </cell>
          <cell r="C116">
            <v>0.12577890606969766</v>
          </cell>
          <cell r="F116">
            <v>0.11705233799625248</v>
          </cell>
          <cell r="AD116">
            <v>0.1170439982913285</v>
          </cell>
        </row>
        <row r="117">
          <cell r="A117">
            <v>7.5369829950573508E-2</v>
          </cell>
          <cell r="C117">
            <v>9.8195981959819489E-2</v>
          </cell>
          <cell r="F117">
            <v>8.8245620879335185E-2</v>
          </cell>
          <cell r="AD117">
            <v>9.738687061822815E-2</v>
          </cell>
        </row>
        <row r="118">
          <cell r="A118">
            <v>0.12601153615189289</v>
          </cell>
          <cell r="C118">
            <v>0.12861676311368297</v>
          </cell>
          <cell r="F118">
            <v>0.12149130668578612</v>
          </cell>
          <cell r="AD118">
            <v>0.12510163782088513</v>
          </cell>
        </row>
        <row r="119">
          <cell r="A119">
            <v>1.2428380132744873E-2</v>
          </cell>
          <cell r="C119">
            <v>0.10271253721468732</v>
          </cell>
          <cell r="F119">
            <v>4.0467970847717583E-2</v>
          </cell>
          <cell r="AD119">
            <v>7.2682221763369803E-2</v>
          </cell>
        </row>
        <row r="120">
          <cell r="A120">
            <v>9.427400465385119E-2</v>
          </cell>
          <cell r="C120">
            <v>0.13994300284985761</v>
          </cell>
          <cell r="F120">
            <v>8.6543778801843274E-2</v>
          </cell>
          <cell r="AD120">
            <v>0.13965351299326279</v>
          </cell>
        </row>
        <row r="121">
          <cell r="A121">
            <v>0.13566989461782145</v>
          </cell>
          <cell r="C121">
            <v>0.15802631578947368</v>
          </cell>
          <cell r="F121">
            <v>0.11211015918794365</v>
          </cell>
          <cell r="AD121">
            <v>7.9638544041888304E-2</v>
          </cell>
        </row>
        <row r="122">
          <cell r="A122">
            <v>7.6844912613929117E-2</v>
          </cell>
          <cell r="C122">
            <v>7.8286558345642465E-2</v>
          </cell>
          <cell r="F122">
            <v>7.299399979660337E-2</v>
          </cell>
          <cell r="AD122">
            <v>5.1548811013767182E-2</v>
          </cell>
        </row>
        <row r="123">
          <cell r="A123">
            <v>5.5910153688108498E-2</v>
          </cell>
          <cell r="C123">
            <v>7.8714436248682906E-2</v>
          </cell>
          <cell r="F123">
            <v>5.7460370115868464E-2</v>
          </cell>
          <cell r="AD123">
            <v>6.4568920627836146E-2</v>
          </cell>
        </row>
        <row r="124">
          <cell r="A124">
            <v>6.0778934108842081E-2</v>
          </cell>
          <cell r="C124">
            <v>7.7171046204942861E-2</v>
          </cell>
          <cell r="F124">
            <v>6.2001434077260775E-2</v>
          </cell>
          <cell r="AD124">
            <v>6.4006708126615797E-2</v>
          </cell>
        </row>
        <row r="125">
          <cell r="A125">
            <v>8.1347112585340817E-2</v>
          </cell>
          <cell r="C125">
            <v>7.6902149269973741E-2</v>
          </cell>
          <cell r="F125">
            <v>7.6864648169638228E-2</v>
          </cell>
          <cell r="AD125">
            <v>3.6973796545609838E-2</v>
          </cell>
        </row>
        <row r="126">
          <cell r="A126">
            <v>7.6079939084738035E-2</v>
          </cell>
          <cell r="C126">
            <v>5.0694736842105348E-2</v>
          </cell>
          <cell r="F126">
            <v>7.4571887613150922E-2</v>
          </cell>
          <cell r="AD126">
            <v>4.5218492716909475E-2</v>
          </cell>
        </row>
        <row r="127">
          <cell r="A127">
            <v>4.9670446788543959E-2</v>
          </cell>
          <cell r="C127">
            <v>4.1981245491704788E-2</v>
          </cell>
          <cell r="F127">
            <v>5.8110276420392459E-2</v>
          </cell>
          <cell r="AD127">
            <v>8.9675230247212578E-3</v>
          </cell>
        </row>
        <row r="128">
          <cell r="A128">
            <v>1.1797046345660925E-2</v>
          </cell>
          <cell r="C128">
            <v>-1.5522121715586756E-2</v>
          </cell>
          <cell r="F128">
            <v>3.3223621857283003E-2</v>
          </cell>
          <cell r="AD128">
            <v>-4.8883017055008415E-2</v>
          </cell>
        </row>
        <row r="129">
          <cell r="A129">
            <v>5.4757038766059155E-2</v>
          </cell>
          <cell r="C129">
            <v>4.1128213141651715E-2</v>
          </cell>
          <cell r="AD129">
            <v>1.2817274908448084E-2</v>
          </cell>
        </row>
        <row r="130">
          <cell r="A130">
            <v>4.4275995348742311E-2</v>
          </cell>
          <cell r="C130">
            <v>5.2651327539886328E-2</v>
          </cell>
          <cell r="AD130">
            <v>5.0994327036967713E-2</v>
          </cell>
        </row>
        <row r="131">
          <cell r="A131">
            <v>6.3962813861468681E-2</v>
          </cell>
          <cell r="C131">
            <v>8.4565480858344699E-2</v>
          </cell>
          <cell r="AD131">
            <v>3.7783972952132316E-2</v>
          </cell>
        </row>
        <row r="132">
          <cell r="A132">
            <v>3.8406875562602499E-2</v>
          </cell>
        </row>
        <row r="170">
          <cell r="E170">
            <v>2.2246348203711012E-2</v>
          </cell>
          <cell r="F170">
            <v>3.5484886649874051E-2</v>
          </cell>
          <cell r="G170">
            <v>2.1583753148614611E-2</v>
          </cell>
          <cell r="H170">
            <v>1.3901133501259445E-2</v>
          </cell>
        </row>
        <row r="171">
          <cell r="A171">
            <v>9805.7999999999993</v>
          </cell>
          <cell r="E171">
            <v>2.2720364741641338E-2</v>
          </cell>
          <cell r="F171">
            <v>3.6056677720832084E-2</v>
          </cell>
          <cell r="G171">
            <v>2.2022912270123606E-2</v>
          </cell>
          <cell r="H171">
            <v>1.4033765450708472E-2</v>
          </cell>
        </row>
        <row r="172">
          <cell r="A172">
            <v>10159.400000000001</v>
          </cell>
          <cell r="E172">
            <v>2.1773453277033228E-2</v>
          </cell>
          <cell r="F172">
            <v>3.4668225665010224E-2</v>
          </cell>
          <cell r="G172">
            <v>2.1382636655948552E-2</v>
          </cell>
          <cell r="H172">
            <v>1.3285589009061677E-2</v>
          </cell>
        </row>
        <row r="173">
          <cell r="A173">
            <v>10880.2</v>
          </cell>
          <cell r="E173">
            <v>2.1226092896174862E-2</v>
          </cell>
          <cell r="F173">
            <v>3.4214148086980457E-2</v>
          </cell>
          <cell r="G173">
            <v>2.1180842279108176E-2</v>
          </cell>
          <cell r="H173">
            <v>1.3033305807872283E-2</v>
          </cell>
        </row>
        <row r="174">
          <cell r="A174">
            <v>11539.8</v>
          </cell>
          <cell r="E174">
            <v>2.1207706006151853E-2</v>
          </cell>
          <cell r="F174">
            <v>3.423046772929187E-2</v>
          </cell>
          <cell r="G174">
            <v>2.1217663966553436E-2</v>
          </cell>
          <cell r="H174">
            <v>1.3012803762738438E-2</v>
          </cell>
        </row>
        <row r="175">
          <cell r="A175">
            <v>12515.599999999999</v>
          </cell>
          <cell r="E175">
            <v>2.1323086196503919E-2</v>
          </cell>
          <cell r="F175">
            <v>3.4394749635391346E-2</v>
          </cell>
          <cell r="G175">
            <v>2.1195916383082162E-2</v>
          </cell>
          <cell r="H175">
            <v>1.3198833252309188E-2</v>
          </cell>
        </row>
        <row r="176">
          <cell r="A176">
            <v>13617.2</v>
          </cell>
          <cell r="E176">
            <v>2.1207064386038102E-2</v>
          </cell>
          <cell r="F176">
            <v>3.4362325371789092E-2</v>
          </cell>
          <cell r="G176">
            <v>2.1045515998197387E-2</v>
          </cell>
          <cell r="H176">
            <v>1.3316809373591709E-2</v>
          </cell>
        </row>
        <row r="177">
          <cell r="A177">
            <v>14878.599999999999</v>
          </cell>
          <cell r="E177">
            <v>2.1109418634171109E-2</v>
          </cell>
          <cell r="F177">
            <v>3.4580993969640254E-2</v>
          </cell>
          <cell r="G177">
            <v>2.1106259097525476E-2</v>
          </cell>
          <cell r="H177">
            <v>1.3474734872114787E-2</v>
          </cell>
        </row>
        <row r="178">
          <cell r="A178">
            <v>15793.2</v>
          </cell>
          <cell r="E178">
            <v>2.0261830410761471E-2</v>
          </cell>
          <cell r="F178">
            <v>3.3221740842851517E-2</v>
          </cell>
          <cell r="G178">
            <v>2.0106341079165028E-2</v>
          </cell>
          <cell r="H178">
            <v>1.3115399763686491E-2</v>
          </cell>
        </row>
        <row r="179">
          <cell r="A179">
            <v>17500</v>
          </cell>
          <cell r="E179">
            <v>1.987912087912088E-2</v>
          </cell>
          <cell r="F179">
            <v>3.2419354838709676E-2</v>
          </cell>
          <cell r="G179">
            <v>1.935483870967742E-2</v>
          </cell>
          <cell r="H179">
            <v>1.3064516129032259E-2</v>
          </cell>
        </row>
        <row r="180">
          <cell r="A180">
            <v>19104.800000000003</v>
          </cell>
          <cell r="E180">
            <v>1.9723745683526306E-2</v>
          </cell>
          <cell r="F180">
            <v>3.2088565763384008E-2</v>
          </cell>
          <cell r="G180">
            <v>1.8836748182419035E-2</v>
          </cell>
          <cell r="H180">
            <v>1.3251817580964968E-2</v>
          </cell>
        </row>
        <row r="181">
          <cell r="A181">
            <v>20577</v>
          </cell>
          <cell r="E181">
            <v>1.8825228695233509E-2</v>
          </cell>
          <cell r="F181">
            <v>3.0146491904394758E-2</v>
          </cell>
          <cell r="G181">
            <v>1.7501927525057824E-2</v>
          </cell>
          <cell r="H181">
            <v>1.264456437933693E-2</v>
          </cell>
        </row>
        <row r="182">
          <cell r="A182">
            <v>22392.6</v>
          </cell>
          <cell r="E182">
            <v>1.8365717327655046E-2</v>
          </cell>
          <cell r="F182">
            <v>2.9491380538538253E-2</v>
          </cell>
          <cell r="G182">
            <v>1.6747399914517739E-2</v>
          </cell>
          <cell r="H182">
            <v>1.2743980624020516E-2</v>
          </cell>
        </row>
        <row r="183">
          <cell r="A183">
            <v>24728.400000000001</v>
          </cell>
          <cell r="E183">
            <v>1.8743438585157073E-2</v>
          </cell>
          <cell r="F183">
            <v>3.0119387490267324E-2</v>
          </cell>
          <cell r="G183">
            <v>1.6844017648585518E-2</v>
          </cell>
          <cell r="H183">
            <v>1.3275369841681806E-2</v>
          </cell>
        </row>
        <row r="184">
          <cell r="A184">
            <v>27509.599999999999</v>
          </cell>
          <cell r="E184">
            <v>1.8066102552976061E-2</v>
          </cell>
          <cell r="F184">
            <v>2.9305490380103241E-2</v>
          </cell>
          <cell r="G184">
            <v>1.6072266541529798E-2</v>
          </cell>
          <cell r="H184">
            <v>1.3233223838573439E-2</v>
          </cell>
        </row>
        <row r="185">
          <cell r="A185">
            <v>30263.599999999999</v>
          </cell>
          <cell r="E185">
            <v>1.7746666666666668E-2</v>
          </cell>
          <cell r="F185">
            <v>2.8519391472037713E-2</v>
          </cell>
          <cell r="G185">
            <v>1.5748875080351402E-2</v>
          </cell>
          <cell r="H185">
            <v>1.2770516391686308E-2</v>
          </cell>
        </row>
        <row r="186">
          <cell r="A186">
            <v>33697.600000000006</v>
          </cell>
          <cell r="E186">
            <v>1.7029848013184398E-2</v>
          </cell>
          <cell r="F186">
            <v>2.6972157772621807E-2</v>
          </cell>
          <cell r="G186">
            <v>1.4694508894044856E-2</v>
          </cell>
          <cell r="H186">
            <v>1.2277648878576951E-2</v>
          </cell>
        </row>
        <row r="187">
          <cell r="A187">
            <v>37692.600000000006</v>
          </cell>
          <cell r="E187">
            <v>1.8243576398400262E-2</v>
          </cell>
          <cell r="F187">
            <v>2.8908759440923686E-2</v>
          </cell>
          <cell r="G187">
            <v>1.5934542929073703E-2</v>
          </cell>
          <cell r="H187">
            <v>1.2974216511849986E-2</v>
          </cell>
        </row>
        <row r="188">
          <cell r="A188">
            <v>42000.399999999994</v>
          </cell>
          <cell r="E188">
            <v>1.8435176522723914E-2</v>
          </cell>
          <cell r="F188">
            <v>2.9282027217268889E-2</v>
          </cell>
          <cell r="G188">
            <v>1.6107461285781322E-2</v>
          </cell>
          <cell r="H188">
            <v>1.3174565931487565E-2</v>
          </cell>
        </row>
        <row r="189">
          <cell r="A189">
            <v>47097</v>
          </cell>
          <cell r="E189">
            <v>1.8882642611234585E-2</v>
          </cell>
          <cell r="F189">
            <v>3.033251662583129E-2</v>
          </cell>
          <cell r="G189">
            <v>1.6604830241512075E-2</v>
          </cell>
          <cell r="H189">
            <v>1.3727686384319215E-2</v>
          </cell>
        </row>
        <row r="190">
          <cell r="A190">
            <v>52662.8</v>
          </cell>
          <cell r="E190">
            <v>1.9030156438965395E-2</v>
          </cell>
          <cell r="F190">
            <v>3.0636854666499184E-2</v>
          </cell>
          <cell r="G190">
            <v>1.6766109785202862E-2</v>
          </cell>
          <cell r="H190">
            <v>1.387074488129632E-2</v>
          </cell>
        </row>
        <row r="191">
          <cell r="A191">
            <v>58269.399999999994</v>
          </cell>
          <cell r="E191">
            <v>1.9204158451335364E-2</v>
          </cell>
          <cell r="F191">
            <v>3.0487735473222925E-2</v>
          </cell>
          <cell r="G191">
            <v>1.6982528029138924E-2</v>
          </cell>
          <cell r="H191">
            <v>1.3505207444084002E-2</v>
          </cell>
        </row>
        <row r="192">
          <cell r="A192">
            <v>64525.399999999994</v>
          </cell>
          <cell r="E192">
            <v>1.9326173123641478E-2</v>
          </cell>
          <cell r="F192">
            <v>3.1147287620421411E-2</v>
          </cell>
          <cell r="G192">
            <v>1.7479779506465405E-2</v>
          </cell>
          <cell r="H192">
            <v>1.3667508113956006E-2</v>
          </cell>
        </row>
        <row r="193">
          <cell r="A193">
            <v>69156.200000000012</v>
          </cell>
          <cell r="E193">
            <v>2.0482334869431643E-2</v>
          </cell>
          <cell r="F193">
            <v>3.2094545804650265E-2</v>
          </cell>
          <cell r="G193">
            <v>1.8235209165743994E-2</v>
          </cell>
          <cell r="H193">
            <v>1.3859336638906272E-2</v>
          </cell>
        </row>
        <row r="194">
          <cell r="A194">
            <v>76408.399999999994</v>
          </cell>
          <cell r="E194">
            <v>2.1488958633754631E-2</v>
          </cell>
          <cell r="F194">
            <v>3.3179079717104688E-2</v>
          </cell>
          <cell r="G194">
            <v>1.8623941325416921E-2</v>
          </cell>
          <cell r="H194">
            <v>1.4555138391687769E-2</v>
          </cell>
        </row>
        <row r="195">
          <cell r="A195">
            <v>83640.200000000012</v>
          </cell>
          <cell r="E195">
            <v>2.2376182243465881E-2</v>
          </cell>
          <cell r="F195">
            <v>3.5157591978588261E-2</v>
          </cell>
          <cell r="G195">
            <v>1.9929692805496745E-2</v>
          </cell>
          <cell r="H195">
            <v>1.5227899173091516E-2</v>
          </cell>
        </row>
        <row r="196">
          <cell r="A196">
            <v>91018.200000000012</v>
          </cell>
          <cell r="E196">
            <v>2.2486553088642988E-2</v>
          </cell>
          <cell r="F196">
            <v>3.48858581774069E-2</v>
          </cell>
          <cell r="G196">
            <v>1.9670624563467264E-2</v>
          </cell>
          <cell r="H196">
            <v>1.5215233613939639E-2</v>
          </cell>
        </row>
        <row r="197">
          <cell r="A197">
            <v>97117.799999999988</v>
          </cell>
          <cell r="E197">
            <v>2.2938513937438381E-2</v>
          </cell>
          <cell r="F197">
            <v>3.5303652101941585E-2</v>
          </cell>
          <cell r="G197">
            <v>1.9688243611408078E-2</v>
          </cell>
          <cell r="H197">
            <v>1.5615408490533505E-2</v>
          </cell>
        </row>
        <row r="198">
          <cell r="A198">
            <v>103934.79999999999</v>
          </cell>
          <cell r="E198">
            <v>2.3266167317227554E-2</v>
          </cell>
          <cell r="F198">
            <v>3.556867298883943E-2</v>
          </cell>
          <cell r="G198">
            <v>1.9650345139023289E-2</v>
          </cell>
          <cell r="H198">
            <v>1.5918327849816144E-2</v>
          </cell>
        </row>
        <row r="199">
          <cell r="A199">
            <v>112550.39999999999</v>
          </cell>
          <cell r="E199">
            <v>2.3266977546142091E-2</v>
          </cell>
          <cell r="F199">
            <v>3.5409708969465652E-2</v>
          </cell>
          <cell r="G199">
            <v>1.9762344942748093E-2</v>
          </cell>
          <cell r="H199">
            <v>1.5647364026717559E-2</v>
          </cell>
        </row>
        <row r="200">
          <cell r="A200">
            <v>120877</v>
          </cell>
          <cell r="E200">
            <v>2.2749981766464884E-2</v>
          </cell>
          <cell r="F200">
            <v>3.4672780325135474E-2</v>
          </cell>
          <cell r="G200">
            <v>1.9380019452549673E-2</v>
          </cell>
          <cell r="H200">
            <v>1.5292760872585799E-2</v>
          </cell>
        </row>
        <row r="201">
          <cell r="A201">
            <v>129084.6</v>
          </cell>
          <cell r="E201">
            <v>2.2403198290568836E-2</v>
          </cell>
          <cell r="F201">
            <v>3.3857131696137924E-2</v>
          </cell>
          <cell r="G201">
            <v>1.9263001640667726E-2</v>
          </cell>
          <cell r="H201">
            <v>1.4594130055470195E-2</v>
          </cell>
        </row>
        <row r="202">
          <cell r="A202">
            <v>134055.4</v>
          </cell>
          <cell r="E202">
            <v>2.134625327306993E-2</v>
          </cell>
          <cell r="F202">
            <v>3.2109079049697696E-2</v>
          </cell>
          <cell r="G202">
            <v>1.8553222448006824E-2</v>
          </cell>
          <cell r="H202">
            <v>1.3555856601690876E-2</v>
          </cell>
        </row>
        <row r="203">
          <cell r="A203">
            <v>142528.20000000001</v>
          </cell>
        </row>
        <row r="204">
          <cell r="A204">
            <v>150776.59999999998</v>
          </cell>
        </row>
        <row r="205">
          <cell r="A205">
            <v>159800.20000000001</v>
          </cell>
        </row>
        <row r="206">
          <cell r="A206">
            <v>167705.20000000001</v>
          </cell>
        </row>
      </sheetData>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KEY"/>
      <sheetName val="ChangeLog"/>
      <sheetName val="Steering Wheel"/>
      <sheetName val="Summary results"/>
      <sheetName val="IHS base"/>
      <sheetName val="WM base"/>
      <sheetName val="Sheet1"/>
      <sheetName val="InputC_LCCP"/>
      <sheetName val="InputC_Gemini"/>
      <sheetName val="InputT"/>
      <sheetName val="InputT_SOPS"/>
      <sheetName val="Timing"/>
      <sheetName val="Escalation"/>
      <sheetName val="Rampup"/>
      <sheetName val="Capital,Allowances,Taxes"/>
      <sheetName val="Process Balance"/>
      <sheetName val="Utility balance"/>
      <sheetName val="Pricing"/>
      <sheetName val="O&amp;M costs"/>
      <sheetName val="Economics-LCCP"/>
      <sheetName val="Economics-Gemini"/>
      <sheetName val="LCCP-FS"/>
      <sheetName val="Budget"/>
      <sheetName val="Ethane Hedging"/>
      <sheetName val="Fact Sheet"/>
      <sheetName val="FS Key Assumptions"/>
      <sheetName val="LCCP impact"/>
      <sheetName val="LCCC impact"/>
      <sheetName val="GEM-LCCP"/>
    </sheetNames>
    <sheetDataSet>
      <sheetData sheetId="0" refreshError="1"/>
      <sheetData sheetId="1" refreshError="1"/>
      <sheetData sheetId="2" refreshError="1"/>
      <sheetData sheetId="3">
        <row r="11">
          <cell r="F11" t="str">
            <v>No</v>
          </cell>
        </row>
        <row r="14">
          <cell r="F14">
            <v>43922</v>
          </cell>
        </row>
        <row r="16">
          <cell r="F16" t="str">
            <v>No</v>
          </cell>
        </row>
        <row r="17">
          <cell r="F17" t="str">
            <v>No</v>
          </cell>
        </row>
        <row r="18">
          <cell r="F18" t="str">
            <v>No</v>
          </cell>
        </row>
        <row r="21">
          <cell r="F21" t="str">
            <v>Yes</v>
          </cell>
        </row>
        <row r="22">
          <cell r="F22" t="str">
            <v>Yes</v>
          </cell>
        </row>
        <row r="23">
          <cell r="F23" t="str">
            <v>Yes</v>
          </cell>
        </row>
        <row r="24">
          <cell r="F24" t="str">
            <v>Yes</v>
          </cell>
        </row>
        <row r="25">
          <cell r="F25" t="str">
            <v>Yes</v>
          </cell>
        </row>
        <row r="26">
          <cell r="F26" t="str">
            <v>Yes</v>
          </cell>
        </row>
        <row r="27">
          <cell r="F27" t="str">
            <v>Yes</v>
          </cell>
        </row>
        <row r="28">
          <cell r="F28" t="str">
            <v>Yes</v>
          </cell>
        </row>
        <row r="29">
          <cell r="F29" t="str">
            <v>Yes</v>
          </cell>
        </row>
        <row r="30">
          <cell r="F30" t="str">
            <v>Yes</v>
          </cell>
        </row>
        <row r="31">
          <cell r="F31" t="str">
            <v>Yes</v>
          </cell>
        </row>
        <row r="32">
          <cell r="F32" t="str">
            <v>Yes</v>
          </cell>
        </row>
        <row r="33">
          <cell r="F33" t="str">
            <v>Yes</v>
          </cell>
        </row>
        <row r="34">
          <cell r="F34" t="str">
            <v>Yes</v>
          </cell>
        </row>
        <row r="35">
          <cell r="F35" t="str">
            <v>Yes</v>
          </cell>
        </row>
        <row r="36">
          <cell r="F36" t="str">
            <v>Yes</v>
          </cell>
          <cell r="O36">
            <v>543161676.48805285</v>
          </cell>
        </row>
        <row r="37">
          <cell r="F37" t="str">
            <v>Yes</v>
          </cell>
        </row>
        <row r="38">
          <cell r="F38" t="str">
            <v>Yes</v>
          </cell>
        </row>
        <row r="39">
          <cell r="F39" t="str">
            <v>Yes</v>
          </cell>
        </row>
        <row r="40">
          <cell r="F40" t="str">
            <v>Yes</v>
          </cell>
        </row>
        <row r="41">
          <cell r="F41" t="str">
            <v>Yes</v>
          </cell>
        </row>
        <row r="42">
          <cell r="F42" t="str">
            <v>Yes</v>
          </cell>
        </row>
        <row r="43">
          <cell r="F43" t="str">
            <v>Yes</v>
          </cell>
        </row>
        <row r="44">
          <cell r="F44" t="str">
            <v>Yes</v>
          </cell>
        </row>
        <row r="46">
          <cell r="F46" t="str">
            <v>No</v>
          </cell>
        </row>
        <row r="54">
          <cell r="F54">
            <v>0</v>
          </cell>
        </row>
        <row r="55">
          <cell r="F55">
            <v>0</v>
          </cell>
        </row>
        <row r="56">
          <cell r="F56">
            <v>0</v>
          </cell>
        </row>
        <row r="57">
          <cell r="F57">
            <v>0</v>
          </cell>
        </row>
        <row r="58">
          <cell r="F58">
            <v>0</v>
          </cell>
        </row>
        <row r="59">
          <cell r="F59">
            <v>2020</v>
          </cell>
        </row>
        <row r="60">
          <cell r="F60">
            <v>2020</v>
          </cell>
        </row>
        <row r="62">
          <cell r="F62" t="str">
            <v>No</v>
          </cell>
        </row>
      </sheetData>
      <sheetData sheetId="4" refreshError="1"/>
      <sheetData sheetId="5" refreshError="1"/>
      <sheetData sheetId="6" refreshError="1"/>
      <sheetData sheetId="7" refreshError="1"/>
      <sheetData sheetId="8">
        <row r="5">
          <cell r="K5" t="str">
            <v>Aug2019 Stratcom</v>
          </cell>
          <cell r="L5" t="str">
            <v>May2019 Impair</v>
          </cell>
          <cell r="M5" t="str">
            <v>CIC201902</v>
          </cell>
          <cell r="N5" t="str">
            <v>June2018 Impair</v>
          </cell>
          <cell r="O5" t="str">
            <v>January 2018</v>
          </cell>
          <cell r="P5" t="str">
            <v>August 2017</v>
          </cell>
          <cell r="Q5" t="str">
            <v>FEED</v>
          </cell>
        </row>
        <row r="22">
          <cell r="F22">
            <v>6</v>
          </cell>
        </row>
        <row r="2332">
          <cell r="F2332">
            <v>365</v>
          </cell>
        </row>
        <row r="2333">
          <cell r="F2333">
            <v>12</v>
          </cell>
        </row>
        <row r="2334">
          <cell r="F2334">
            <v>24</v>
          </cell>
        </row>
        <row r="2335">
          <cell r="F2335">
            <v>1000</v>
          </cell>
        </row>
        <row r="2336">
          <cell r="F2336">
            <v>1000000</v>
          </cell>
        </row>
        <row r="2340">
          <cell r="F2340">
            <v>100</v>
          </cell>
        </row>
        <row r="2341">
          <cell r="F2341">
            <v>2204.62</v>
          </cell>
        </row>
      </sheetData>
      <sheetData sheetId="9"/>
      <sheetData sheetId="10"/>
      <sheetData sheetId="11"/>
      <sheetData sheetId="12"/>
      <sheetData sheetId="13">
        <row r="12">
          <cell r="E12" t="str">
            <v>DCCI</v>
          </cell>
        </row>
        <row r="13">
          <cell r="E13" t="str">
            <v>USA CPI</v>
          </cell>
        </row>
        <row r="14">
          <cell r="E14" t="str">
            <v>USA PPI</v>
          </cell>
        </row>
        <row r="15">
          <cell r="E15" t="str">
            <v>Dated Brent</v>
          </cell>
        </row>
        <row r="16">
          <cell r="E16" t="str">
            <v>Natural Gas</v>
          </cell>
        </row>
        <row r="17">
          <cell r="E17" t="str">
            <v>Fixed</v>
          </cell>
        </row>
      </sheetData>
      <sheetData sheetId="14" refreshError="1"/>
      <sheetData sheetId="15" refreshError="1"/>
      <sheetData sheetId="16"/>
      <sheetData sheetId="17"/>
      <sheetData sheetId="18" refreshError="1"/>
      <sheetData sheetId="19"/>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Legend"/>
      <sheetName val="Assumptions"/>
      <sheetName val="Financials"/>
      <sheetName val="Mining"/>
      <sheetName val="EPI"/>
      <sheetName val="SA_Energy"/>
      <sheetName val="Intl_Energy"/>
      <sheetName val="Base_Chem"/>
      <sheetName val="Perf_Chem"/>
      <sheetName val="Functions"/>
      <sheetName val="Interco"/>
    </sheetNames>
    <sheetDataSet>
      <sheetData sheetId="0" refreshError="1"/>
      <sheetData sheetId="1"/>
      <sheetData sheetId="2">
        <row r="1">
          <cell r="B1" t="str">
            <v>Sasol Limited</v>
          </cell>
        </row>
        <row r="2">
          <cell r="B2" t="str">
            <v>Model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N11"/>
  <sheetViews>
    <sheetView view="pageBreakPreview" zoomScale="80" zoomScaleNormal="80" zoomScaleSheetLayoutView="80" workbookViewId="0">
      <selection activeCell="B11" sqref="B11"/>
    </sheetView>
  </sheetViews>
  <sheetFormatPr defaultColWidth="9.21875" defaultRowHeight="13.2" x14ac:dyDescent="0.25"/>
  <cols>
    <col min="1" max="1" width="1.44140625" style="1" customWidth="1"/>
    <col min="2" max="2" width="20.77734375" style="1" customWidth="1"/>
    <col min="3" max="14" width="9.21875" style="1"/>
    <col min="15" max="15" width="1.5546875" style="1" customWidth="1"/>
    <col min="16" max="16384" width="9.21875" style="1"/>
  </cols>
  <sheetData>
    <row r="1" spans="2:14" ht="17.399999999999999" x14ac:dyDescent="0.3">
      <c r="B1" s="3" t="str">
        <f>[3]Assumptions!B1</f>
        <v>Sasol Limited</v>
      </c>
    </row>
    <row r="2" spans="2:14" ht="15.6" x14ac:dyDescent="0.3">
      <c r="B2" s="4" t="str">
        <f>[3]Assumptions!B2</f>
        <v>Model</v>
      </c>
    </row>
    <row r="3" spans="2:14" x14ac:dyDescent="0.25">
      <c r="C3" s="132"/>
    </row>
    <row r="4" spans="2:14" x14ac:dyDescent="0.25">
      <c r="B4" s="2" t="s">
        <v>275</v>
      </c>
    </row>
    <row r="5" spans="2:14" ht="219" customHeight="1" x14ac:dyDescent="0.25">
      <c r="B5" s="174" t="s">
        <v>401</v>
      </c>
      <c r="C5" s="175"/>
      <c r="D5" s="175"/>
      <c r="E5" s="175"/>
      <c r="F5" s="175"/>
      <c r="G5" s="175"/>
      <c r="H5" s="175"/>
      <c r="I5" s="175"/>
      <c r="J5" s="175"/>
      <c r="K5" s="175"/>
      <c r="L5" s="175"/>
      <c r="M5" s="175"/>
      <c r="N5" s="176"/>
    </row>
    <row r="7" spans="2:14" x14ac:dyDescent="0.25">
      <c r="B7" s="2" t="s">
        <v>274</v>
      </c>
    </row>
    <row r="8" spans="2:14" x14ac:dyDescent="0.25">
      <c r="B8" s="1" t="s">
        <v>402</v>
      </c>
    </row>
    <row r="9" spans="2:14" x14ac:dyDescent="0.25">
      <c r="B9" s="1" t="s">
        <v>418</v>
      </c>
    </row>
    <row r="10" spans="2:14" x14ac:dyDescent="0.25">
      <c r="B10" s="1" t="s">
        <v>419</v>
      </c>
    </row>
    <row r="11" spans="2:14" x14ac:dyDescent="0.25">
      <c r="B11" s="1" t="s">
        <v>420</v>
      </c>
    </row>
  </sheetData>
  <mergeCells count="1">
    <mergeCell ref="B5:N5"/>
  </mergeCells>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B1:E137"/>
  <sheetViews>
    <sheetView view="pageBreakPreview" zoomScale="80" zoomScaleNormal="80" zoomScaleSheetLayoutView="80" workbookViewId="0">
      <pane xSplit="3" ySplit="4" topLeftCell="D5" activePane="bottomRight" state="frozen"/>
      <selection activeCell="B31" sqref="B31"/>
      <selection pane="topRight" activeCell="B31" sqref="B31"/>
      <selection pane="bottomLeft" activeCell="B31" sqref="B31"/>
      <selection pane="bottomRight" activeCell="E25" sqref="E25"/>
    </sheetView>
  </sheetViews>
  <sheetFormatPr defaultColWidth="9.21875" defaultRowHeight="13.2"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377</v>
      </c>
      <c r="C4" s="23" t="s">
        <v>2</v>
      </c>
      <c r="D4" s="5" t="s">
        <v>234</v>
      </c>
      <c r="E4" s="5" t="s">
        <v>235</v>
      </c>
    </row>
    <row r="5" spans="2:5" x14ac:dyDescent="0.25">
      <c r="D5" s="12"/>
      <c r="E5" s="12"/>
    </row>
    <row r="6" spans="2:5" x14ac:dyDescent="0.25">
      <c r="B6" s="39" t="s">
        <v>4</v>
      </c>
      <c r="D6" s="12"/>
      <c r="E6" s="12"/>
    </row>
    <row r="7" spans="2:5" s="2" customFormat="1" x14ac:dyDescent="0.25">
      <c r="B7" s="2" t="s">
        <v>5</v>
      </c>
      <c r="C7" s="141" t="s">
        <v>37</v>
      </c>
      <c r="D7" s="18">
        <f t="shared" ref="D7" si="0">SUM(D8:D9)</f>
        <v>54817</v>
      </c>
      <c r="E7" s="18">
        <f t="shared" ref="E7" si="1">SUM(E8:E9)</f>
        <v>54310</v>
      </c>
    </row>
    <row r="8" spans="2:5" x14ac:dyDescent="0.25">
      <c r="B8" s="13" t="s">
        <v>7</v>
      </c>
      <c r="C8" s="26" t="s">
        <v>37</v>
      </c>
      <c r="D8" s="75">
        <v>52607</v>
      </c>
      <c r="E8" s="75">
        <v>51600</v>
      </c>
    </row>
    <row r="9" spans="2:5" x14ac:dyDescent="0.25">
      <c r="B9" s="15" t="s">
        <v>11</v>
      </c>
      <c r="C9" s="27" t="s">
        <v>37</v>
      </c>
      <c r="D9" s="53">
        <v>2210</v>
      </c>
      <c r="E9" s="53">
        <v>2710</v>
      </c>
    </row>
    <row r="10" spans="2:5" x14ac:dyDescent="0.25">
      <c r="B10" s="9"/>
      <c r="D10" s="12"/>
      <c r="E10" s="12"/>
    </row>
    <row r="11" spans="2:5" x14ac:dyDescent="0.25">
      <c r="B11" s="1" t="s">
        <v>214</v>
      </c>
      <c r="C11" s="24" t="s">
        <v>37</v>
      </c>
      <c r="D11" s="52">
        <f>4737-D12-D17-D14</f>
        <v>7262</v>
      </c>
      <c r="E11" s="52">
        <f>-16139-E12-E14-E17</f>
        <v>5941</v>
      </c>
    </row>
    <row r="12" spans="2:5" x14ac:dyDescent="0.25">
      <c r="B12" s="16" t="s">
        <v>8</v>
      </c>
      <c r="C12" s="27" t="s">
        <v>37</v>
      </c>
      <c r="D12" s="53">
        <v>-51</v>
      </c>
      <c r="E12" s="53">
        <v>877</v>
      </c>
    </row>
    <row r="13" spans="2:5" s="94" customFormat="1" x14ac:dyDescent="0.25">
      <c r="B13" s="94" t="s">
        <v>215</v>
      </c>
      <c r="C13" s="95" t="s">
        <v>37</v>
      </c>
      <c r="D13" s="96">
        <f t="shared" ref="D13" si="2">SUM(D11:D12)</f>
        <v>7211</v>
      </c>
      <c r="E13" s="96">
        <f t="shared" ref="E13" si="3">SUM(E11:E12)</f>
        <v>6818</v>
      </c>
    </row>
    <row r="14" spans="2:5" s="97" customFormat="1" x14ac:dyDescent="0.25">
      <c r="B14" s="97" t="s">
        <v>216</v>
      </c>
      <c r="C14" s="24" t="s">
        <v>37</v>
      </c>
      <c r="D14" s="100">
        <v>37</v>
      </c>
      <c r="E14" s="100">
        <v>21</v>
      </c>
    </row>
    <row r="15" spans="2:5" s="97" customFormat="1" x14ac:dyDescent="0.25">
      <c r="B15" s="99" t="s">
        <v>217</v>
      </c>
      <c r="C15" s="27" t="s">
        <v>37</v>
      </c>
      <c r="D15" s="101"/>
      <c r="E15" s="101"/>
    </row>
    <row r="16" spans="2:5" s="97" customFormat="1" x14ac:dyDescent="0.25">
      <c r="B16" s="97" t="s">
        <v>218</v>
      </c>
      <c r="C16" s="24" t="s">
        <v>37</v>
      </c>
      <c r="D16" s="98">
        <f t="shared" ref="D16" si="4">SUM(D13:D15)</f>
        <v>7248</v>
      </c>
      <c r="E16" s="98">
        <f t="shared" ref="E16" si="5">SUM(E13:E15)</f>
        <v>6839</v>
      </c>
    </row>
    <row r="17" spans="2:5" x14ac:dyDescent="0.25">
      <c r="B17" s="16" t="s">
        <v>9</v>
      </c>
      <c r="C17" s="27" t="s">
        <v>37</v>
      </c>
      <c r="D17" s="53">
        <v>-2511</v>
      </c>
      <c r="E17" s="53">
        <v>-22978</v>
      </c>
    </row>
    <row r="18" spans="2:5" s="2" customFormat="1" x14ac:dyDescent="0.25">
      <c r="B18" s="2" t="s">
        <v>392</v>
      </c>
      <c r="C18" s="141" t="s">
        <v>37</v>
      </c>
      <c r="D18" s="18">
        <f t="shared" ref="D18" si="6">SUM(D16:D17)</f>
        <v>4737</v>
      </c>
      <c r="E18" s="18">
        <f t="shared" ref="E18" si="7">SUM(E16:E17)</f>
        <v>-16139</v>
      </c>
    </row>
    <row r="19" spans="2:5" x14ac:dyDescent="0.25">
      <c r="B19" s="1" t="s">
        <v>108</v>
      </c>
      <c r="C19" s="24" t="s">
        <v>37</v>
      </c>
      <c r="D19" s="52">
        <v>5694</v>
      </c>
      <c r="E19" s="52">
        <v>5034</v>
      </c>
    </row>
    <row r="20" spans="2:5" x14ac:dyDescent="0.25">
      <c r="B20" s="1" t="s">
        <v>239</v>
      </c>
      <c r="C20" s="24" t="s">
        <v>37</v>
      </c>
      <c r="D20" s="52">
        <v>36</v>
      </c>
      <c r="E20" s="52">
        <v>863</v>
      </c>
    </row>
    <row r="21" spans="2:5" x14ac:dyDescent="0.25">
      <c r="B21" s="1" t="s">
        <v>9</v>
      </c>
      <c r="C21" s="24" t="s">
        <v>37</v>
      </c>
      <c r="D21" s="52">
        <f t="shared" ref="D21" si="8">-D17</f>
        <v>2511</v>
      </c>
      <c r="E21" s="52">
        <f t="shared" ref="E21" si="9">-E17</f>
        <v>22978</v>
      </c>
    </row>
    <row r="22" spans="2:5" x14ac:dyDescent="0.25">
      <c r="B22" s="1" t="s">
        <v>238</v>
      </c>
      <c r="C22" s="24" t="s">
        <v>37</v>
      </c>
      <c r="D22" s="52">
        <v>351</v>
      </c>
      <c r="E22" s="52">
        <v>492</v>
      </c>
    </row>
    <row r="23" spans="2:5" x14ac:dyDescent="0.25">
      <c r="B23" s="1" t="s">
        <v>376</v>
      </c>
      <c r="C23" s="24" t="s">
        <v>37</v>
      </c>
      <c r="D23" s="52">
        <f>506-33</f>
        <v>473</v>
      </c>
      <c r="E23" s="52">
        <f>581+90</f>
        <v>671</v>
      </c>
    </row>
    <row r="24" spans="2:5" x14ac:dyDescent="0.25">
      <c r="B24" s="1" t="s">
        <v>243</v>
      </c>
      <c r="C24" s="29" t="s">
        <v>37</v>
      </c>
      <c r="D24" s="52">
        <v>266</v>
      </c>
      <c r="E24" s="52">
        <v>-534</v>
      </c>
    </row>
    <row r="25" spans="2:5" s="2" customFormat="1" ht="13.8" thickBot="1" x14ac:dyDescent="0.3">
      <c r="B25" s="19" t="s">
        <v>244</v>
      </c>
      <c r="C25" s="28" t="s">
        <v>37</v>
      </c>
      <c r="D25" s="20">
        <f>SUM(D18:D24)</f>
        <v>14068</v>
      </c>
      <c r="E25" s="20">
        <f>SUM(E18:E24)</f>
        <v>13365</v>
      </c>
    </row>
    <row r="26" spans="2:5" x14ac:dyDescent="0.25">
      <c r="D26" s="12"/>
      <c r="E26" s="12"/>
    </row>
    <row r="27" spans="2:5" x14ac:dyDescent="0.25">
      <c r="B27" s="39" t="s">
        <v>21</v>
      </c>
      <c r="D27" s="12"/>
      <c r="E27" s="12"/>
    </row>
    <row r="28" spans="2:5" x14ac:dyDescent="0.25">
      <c r="B28" s="1" t="s">
        <v>12</v>
      </c>
      <c r="C28" s="24" t="s">
        <v>37</v>
      </c>
      <c r="D28" s="159">
        <v>55821</v>
      </c>
      <c r="E28" s="159">
        <v>34679</v>
      </c>
    </row>
    <row r="29" spans="2:5" x14ac:dyDescent="0.25">
      <c r="B29" s="1" t="s">
        <v>368</v>
      </c>
      <c r="C29" s="24" t="s">
        <v>37</v>
      </c>
      <c r="D29" s="159">
        <v>0</v>
      </c>
      <c r="E29" s="159">
        <v>2861</v>
      </c>
    </row>
    <row r="30" spans="2:5" x14ac:dyDescent="0.25">
      <c r="B30" s="1" t="s">
        <v>13</v>
      </c>
      <c r="C30" s="24" t="s">
        <v>37</v>
      </c>
      <c r="D30" s="159">
        <v>7433</v>
      </c>
      <c r="E30" s="159">
        <v>4551</v>
      </c>
    </row>
    <row r="31" spans="2:5" x14ac:dyDescent="0.25">
      <c r="B31" s="1" t="s">
        <v>219</v>
      </c>
      <c r="C31" s="24" t="s">
        <v>37</v>
      </c>
      <c r="D31" s="159">
        <v>104</v>
      </c>
      <c r="E31" s="159">
        <v>57</v>
      </c>
    </row>
    <row r="32" spans="2:5" x14ac:dyDescent="0.25">
      <c r="B32" s="1" t="s">
        <v>14</v>
      </c>
      <c r="C32" s="24" t="s">
        <v>37</v>
      </c>
      <c r="D32" s="159">
        <v>276</v>
      </c>
      <c r="E32" s="159">
        <v>1100</v>
      </c>
    </row>
    <row r="33" spans="2:5" x14ac:dyDescent="0.25">
      <c r="B33" s="1" t="s">
        <v>15</v>
      </c>
      <c r="C33" s="24" t="s">
        <v>37</v>
      </c>
      <c r="D33" s="159">
        <v>19791</v>
      </c>
      <c r="E33" s="159">
        <v>18249</v>
      </c>
    </row>
    <row r="34" spans="2:5" ht="13.8" thickBot="1" x14ac:dyDescent="0.3">
      <c r="B34" s="19" t="s">
        <v>16</v>
      </c>
      <c r="C34" s="28" t="s">
        <v>37</v>
      </c>
      <c r="D34" s="20">
        <f t="shared" ref="D34" si="10">SUM(D28:D33)</f>
        <v>83425</v>
      </c>
      <c r="E34" s="20">
        <f t="shared" ref="E34" si="11">SUM(E28:E33)</f>
        <v>61497</v>
      </c>
    </row>
    <row r="35" spans="2:5" x14ac:dyDescent="0.25">
      <c r="B35" s="1" t="s">
        <v>17</v>
      </c>
      <c r="C35" s="24" t="s">
        <v>37</v>
      </c>
      <c r="D35" s="159">
        <v>6557</v>
      </c>
      <c r="E35" s="159">
        <v>8395</v>
      </c>
    </row>
    <row r="36" spans="2:5" x14ac:dyDescent="0.25">
      <c r="B36" s="1" t="s">
        <v>18</v>
      </c>
      <c r="C36" s="24" t="s">
        <v>37</v>
      </c>
      <c r="D36" s="159">
        <v>4778</v>
      </c>
      <c r="E36" s="159">
        <v>4780</v>
      </c>
    </row>
    <row r="37" spans="2:5" ht="13.8" thickBot="1" x14ac:dyDescent="0.3">
      <c r="B37" s="19" t="s">
        <v>19</v>
      </c>
      <c r="C37" s="28" t="s">
        <v>37</v>
      </c>
      <c r="D37" s="20">
        <f t="shared" ref="D37" si="12">SUM(D35:D36)</f>
        <v>11335</v>
      </c>
      <c r="E37" s="20">
        <f t="shared" ref="E37" si="13">SUM(E35:E36)</f>
        <v>13175</v>
      </c>
    </row>
    <row r="38" spans="2:5" x14ac:dyDescent="0.25">
      <c r="D38" s="12"/>
      <c r="E38" s="12"/>
    </row>
    <row r="39" spans="2:5" x14ac:dyDescent="0.25">
      <c r="B39" s="39" t="s">
        <v>20</v>
      </c>
      <c r="D39" s="12"/>
      <c r="E39" s="12"/>
    </row>
    <row r="40" spans="2:5" x14ac:dyDescent="0.25">
      <c r="B40" s="16" t="s">
        <v>223</v>
      </c>
      <c r="C40" s="27" t="s">
        <v>37</v>
      </c>
      <c r="D40" s="122">
        <v>8748</v>
      </c>
      <c r="E40" s="122">
        <v>6845</v>
      </c>
    </row>
    <row r="41" spans="2:5" x14ac:dyDescent="0.25">
      <c r="D41" s="12"/>
      <c r="E41" s="12"/>
    </row>
    <row r="42" spans="2:5" x14ac:dyDescent="0.25">
      <c r="B42" s="2" t="s">
        <v>22</v>
      </c>
      <c r="D42" s="12"/>
      <c r="E42" s="12"/>
    </row>
    <row r="43" spans="2:5" x14ac:dyDescent="0.25">
      <c r="B43" s="1" t="s">
        <v>220</v>
      </c>
      <c r="C43" s="24" t="s">
        <v>37</v>
      </c>
      <c r="D43" s="52">
        <v>11128</v>
      </c>
      <c r="E43" s="52">
        <v>10707</v>
      </c>
    </row>
    <row r="44" spans="2:5" x14ac:dyDescent="0.25">
      <c r="B44" s="1" t="s">
        <v>221</v>
      </c>
      <c r="C44" s="24" t="s">
        <v>37</v>
      </c>
      <c r="D44" s="52">
        <v>9</v>
      </c>
      <c r="E44" s="52">
        <v>5</v>
      </c>
    </row>
    <row r="45" spans="2:5" x14ac:dyDescent="0.25">
      <c r="D45" s="12"/>
      <c r="E45" s="12"/>
    </row>
    <row r="46" spans="2:5" x14ac:dyDescent="0.25">
      <c r="B46" s="16" t="s">
        <v>23</v>
      </c>
      <c r="C46" s="27" t="s">
        <v>198</v>
      </c>
      <c r="D46" s="122">
        <v>8848</v>
      </c>
      <c r="E46" s="122">
        <v>8803</v>
      </c>
    </row>
    <row r="47" spans="2:5" x14ac:dyDescent="0.25">
      <c r="D47" s="12"/>
      <c r="E47" s="12"/>
    </row>
    <row r="48" spans="2:5" x14ac:dyDescent="0.25">
      <c r="B48" s="39" t="s">
        <v>54</v>
      </c>
      <c r="D48" s="12"/>
      <c r="E48" s="12"/>
    </row>
    <row r="49" spans="2:5" x14ac:dyDescent="0.25">
      <c r="D49" s="12"/>
      <c r="E49" s="12"/>
    </row>
    <row r="50" spans="2:5" x14ac:dyDescent="0.25">
      <c r="B50" s="2" t="s">
        <v>1</v>
      </c>
      <c r="D50" s="12"/>
      <c r="E50" s="12"/>
    </row>
    <row r="51" spans="2:5" x14ac:dyDescent="0.25">
      <c r="B51" s="1" t="str">
        <f>Assumptions!B7</f>
        <v>R/US$ exchange rate - avg</v>
      </c>
      <c r="C51" s="24" t="str">
        <f>Assumptions!C7</f>
        <v>R:1US$</v>
      </c>
      <c r="D51" s="35">
        <f>Assumptions!E7</f>
        <v>14.2</v>
      </c>
      <c r="E51" s="35">
        <f>Assumptions!F7</f>
        <v>15.69</v>
      </c>
    </row>
    <row r="52" spans="2:5" x14ac:dyDescent="0.25">
      <c r="D52" s="10"/>
      <c r="E52" s="10"/>
    </row>
    <row r="53" spans="2:5" s="2" customFormat="1" x14ac:dyDescent="0.25">
      <c r="B53" s="2" t="s">
        <v>305</v>
      </c>
      <c r="C53" s="141"/>
      <c r="D53" s="45"/>
      <c r="E53" s="45"/>
    </row>
    <row r="54" spans="2:5" x14ac:dyDescent="0.25">
      <c r="B54" s="43" t="s">
        <v>58</v>
      </c>
      <c r="E54" s="12"/>
    </row>
    <row r="55" spans="2:5" x14ac:dyDescent="0.25">
      <c r="B55" s="9" t="s">
        <v>261</v>
      </c>
      <c r="C55" s="29" t="s">
        <v>141</v>
      </c>
      <c r="D55" s="92">
        <v>112</v>
      </c>
      <c r="E55" s="92">
        <v>134</v>
      </c>
    </row>
    <row r="56" spans="2:5" x14ac:dyDescent="0.25">
      <c r="B56" s="9" t="s">
        <v>306</v>
      </c>
      <c r="C56" s="29" t="s">
        <v>141</v>
      </c>
      <c r="D56" s="92">
        <v>2498</v>
      </c>
      <c r="E56" s="92">
        <v>2384</v>
      </c>
    </row>
    <row r="57" spans="2:5" x14ac:dyDescent="0.25">
      <c r="B57" s="9" t="s">
        <v>307</v>
      </c>
      <c r="C57" s="29" t="s">
        <v>141</v>
      </c>
      <c r="D57" s="92">
        <v>43</v>
      </c>
      <c r="E57" s="92">
        <v>39</v>
      </c>
    </row>
    <row r="58" spans="2:5" x14ac:dyDescent="0.25">
      <c r="B58" s="9" t="s">
        <v>308</v>
      </c>
      <c r="C58" s="29" t="s">
        <v>141</v>
      </c>
      <c r="D58" s="92">
        <v>1293</v>
      </c>
      <c r="E58" s="92">
        <v>1344</v>
      </c>
    </row>
    <row r="59" spans="2:5" x14ac:dyDescent="0.25">
      <c r="B59" s="1" t="s">
        <v>170</v>
      </c>
      <c r="C59" s="29" t="s">
        <v>141</v>
      </c>
      <c r="D59" s="12">
        <f>SUM(D55:D58)</f>
        <v>3946</v>
      </c>
      <c r="E59" s="12">
        <f>SUM(E55:E58)</f>
        <v>3901</v>
      </c>
    </row>
    <row r="60" spans="2:5" x14ac:dyDescent="0.25">
      <c r="D60" s="12"/>
      <c r="E60" s="12"/>
    </row>
    <row r="61" spans="2:5" x14ac:dyDescent="0.25">
      <c r="B61" s="1" t="s">
        <v>309</v>
      </c>
      <c r="C61" s="29" t="s">
        <v>310</v>
      </c>
      <c r="D61" s="92">
        <f>D8/D51</f>
        <v>3704.7183098591549</v>
      </c>
      <c r="E61" s="92">
        <f>E8/E51</f>
        <v>3288.7189292543021</v>
      </c>
    </row>
    <row r="62" spans="2:5" x14ac:dyDescent="0.25">
      <c r="B62" s="1" t="s">
        <v>311</v>
      </c>
      <c r="C62" s="29" t="s">
        <v>33</v>
      </c>
      <c r="D62" s="12">
        <f>D61/D59*1000</f>
        <v>938.85410792173207</v>
      </c>
      <c r="E62" s="12">
        <f>E61/E59*1000</f>
        <v>843.04509850148736</v>
      </c>
    </row>
    <row r="63" spans="2:5" x14ac:dyDescent="0.25">
      <c r="D63" s="12"/>
      <c r="E63" s="12"/>
    </row>
    <row r="64" spans="2:5" x14ac:dyDescent="0.25">
      <c r="B64" s="2" t="s">
        <v>47</v>
      </c>
      <c r="D64" s="24"/>
      <c r="E64" s="24"/>
    </row>
    <row r="65" spans="2:5" s="42" customFormat="1" x14ac:dyDescent="0.25">
      <c r="B65" s="43" t="s">
        <v>58</v>
      </c>
      <c r="C65" s="29"/>
      <c r="D65" s="29"/>
      <c r="E65" s="29"/>
    </row>
    <row r="66" spans="2:5" s="42" customFormat="1" x14ac:dyDescent="0.25">
      <c r="B66" s="41" t="s">
        <v>299</v>
      </c>
      <c r="C66" s="29" t="s">
        <v>77</v>
      </c>
      <c r="D66" s="54">
        <f>D69/70%*30%</f>
        <v>17.828571428571429</v>
      </c>
      <c r="E66" s="54">
        <f t="shared" ref="E66" si="14">E69/70%*30%</f>
        <v>19.028571428571428</v>
      </c>
    </row>
    <row r="67" spans="2:5" s="42" customFormat="1" x14ac:dyDescent="0.25">
      <c r="B67" s="43" t="s">
        <v>63</v>
      </c>
      <c r="C67" s="29"/>
      <c r="D67" s="29"/>
      <c r="E67" s="29"/>
    </row>
    <row r="68" spans="2:5" s="42" customFormat="1" x14ac:dyDescent="0.25">
      <c r="B68" s="41" t="s">
        <v>209</v>
      </c>
      <c r="C68" s="24" t="s">
        <v>36</v>
      </c>
      <c r="D68" s="80">
        <f>Mining!D62</f>
        <v>16.5</v>
      </c>
      <c r="E68" s="80">
        <f>Mining!E62</f>
        <v>15.7</v>
      </c>
    </row>
    <row r="69" spans="2:5" s="42" customFormat="1" x14ac:dyDescent="0.25">
      <c r="B69" s="41" t="s">
        <v>298</v>
      </c>
      <c r="C69" s="29" t="s">
        <v>77</v>
      </c>
      <c r="D69" s="80">
        <f>Gas!D74</f>
        <v>41.6</v>
      </c>
      <c r="E69" s="80">
        <f>Gas!E74</f>
        <v>44.4</v>
      </c>
    </row>
    <row r="70" spans="2:5" x14ac:dyDescent="0.25">
      <c r="D70" s="12"/>
      <c r="E70" s="12"/>
    </row>
    <row r="71" spans="2:5" x14ac:dyDescent="0.25">
      <c r="B71" s="2" t="s">
        <v>396</v>
      </c>
      <c r="C71" s="24" t="s">
        <v>40</v>
      </c>
      <c r="D71" s="165">
        <v>0.57999999999999996</v>
      </c>
      <c r="E71" s="165">
        <v>0.55000000000000004</v>
      </c>
    </row>
    <row r="72" spans="2:5" x14ac:dyDescent="0.25">
      <c r="B72" s="2" t="s">
        <v>400</v>
      </c>
      <c r="C72" s="24" t="s">
        <v>37</v>
      </c>
      <c r="D72" s="166">
        <v>18361</v>
      </c>
      <c r="E72" s="166">
        <v>17915</v>
      </c>
    </row>
    <row r="73" spans="2:5" x14ac:dyDescent="0.25">
      <c r="D73" s="12"/>
      <c r="E73" s="12"/>
    </row>
    <row r="74" spans="2:5" x14ac:dyDescent="0.25">
      <c r="B74" s="2" t="s">
        <v>177</v>
      </c>
      <c r="C74" s="24" t="s">
        <v>40</v>
      </c>
      <c r="D74" s="165">
        <v>0.14000000000000001</v>
      </c>
      <c r="E74" s="165">
        <v>0.28000000000000003</v>
      </c>
    </row>
    <row r="75" spans="2:5" x14ac:dyDescent="0.25">
      <c r="D75" s="12"/>
      <c r="E75" s="12"/>
    </row>
    <row r="76" spans="2:5" x14ac:dyDescent="0.25">
      <c r="B76" s="39" t="s">
        <v>38</v>
      </c>
      <c r="D76" s="12"/>
      <c r="E76" s="12"/>
    </row>
    <row r="77" spans="2:5" s="42" customFormat="1" x14ac:dyDescent="0.25">
      <c r="B77" s="2" t="s">
        <v>330</v>
      </c>
      <c r="C77" s="29"/>
      <c r="D77" s="12"/>
      <c r="E77" s="12"/>
    </row>
    <row r="78" spans="2:5" s="42" customFormat="1" x14ac:dyDescent="0.25">
      <c r="B78" s="9" t="s">
        <v>261</v>
      </c>
      <c r="C78" s="29" t="s">
        <v>33</v>
      </c>
      <c r="D78" s="12">
        <f>Chem!D38</f>
        <v>2943.1818181818185</v>
      </c>
      <c r="E78" s="12">
        <f>Chem!E38</f>
        <v>2405.7427362776248</v>
      </c>
    </row>
    <row r="79" spans="2:5" s="42" customFormat="1" x14ac:dyDescent="0.25">
      <c r="B79" s="9" t="s">
        <v>306</v>
      </c>
      <c r="C79" s="29" t="s">
        <v>33</v>
      </c>
      <c r="D79" s="12">
        <f>Chem!D39</f>
        <v>829.19463087248323</v>
      </c>
      <c r="E79" s="12">
        <f>Chem!E39</f>
        <v>651.59874766336316</v>
      </c>
    </row>
    <row r="80" spans="2:5" s="42" customFormat="1" x14ac:dyDescent="0.25">
      <c r="B80" s="9" t="s">
        <v>307</v>
      </c>
      <c r="C80" s="29" t="s">
        <v>33</v>
      </c>
      <c r="D80" s="12">
        <f>Chem!D40</f>
        <v>1903.2467532467531</v>
      </c>
      <c r="E80" s="12">
        <f>Chem!E40</f>
        <v>1700.853690295429</v>
      </c>
    </row>
    <row r="81" spans="2:5" s="42" customFormat="1" x14ac:dyDescent="0.25">
      <c r="B81" s="9" t="s">
        <v>308</v>
      </c>
      <c r="C81" s="29" t="s">
        <v>33</v>
      </c>
      <c r="D81" s="12">
        <f>Chem!D41</f>
        <v>1209.5612137010078</v>
      </c>
      <c r="E81" s="12">
        <f>Chem!E41</f>
        <v>1127.3387233240142</v>
      </c>
    </row>
    <row r="82" spans="2:5" s="42" customFormat="1" x14ac:dyDescent="0.25">
      <c r="B82" s="9"/>
      <c r="C82" s="29"/>
      <c r="D82" s="30"/>
      <c r="E82" s="30"/>
    </row>
    <row r="83" spans="2:5" s="42" customFormat="1" x14ac:dyDescent="0.25">
      <c r="B83" s="9" t="s">
        <v>331</v>
      </c>
      <c r="C83" s="29"/>
      <c r="D83" s="30"/>
      <c r="E83" s="30"/>
    </row>
    <row r="84" spans="2:5" s="42" customFormat="1" x14ac:dyDescent="0.25">
      <c r="B84" s="9" t="s">
        <v>261</v>
      </c>
      <c r="C84" s="29" t="s">
        <v>310</v>
      </c>
      <c r="D84" s="30">
        <f t="shared" ref="D84:E87" si="15">D55*D78/1000</f>
        <v>329.63636363636363</v>
      </c>
      <c r="E84" s="30">
        <f t="shared" si="15"/>
        <v>322.36952666120175</v>
      </c>
    </row>
    <row r="85" spans="2:5" s="42" customFormat="1" x14ac:dyDescent="0.25">
      <c r="B85" s="9" t="s">
        <v>306</v>
      </c>
      <c r="C85" s="29" t="s">
        <v>310</v>
      </c>
      <c r="D85" s="30">
        <f t="shared" si="15"/>
        <v>2071.3281879194628</v>
      </c>
      <c r="E85" s="30">
        <f t="shared" si="15"/>
        <v>1553.4114144294579</v>
      </c>
    </row>
    <row r="86" spans="2:5" s="42" customFormat="1" x14ac:dyDescent="0.25">
      <c r="B86" s="9" t="s">
        <v>307</v>
      </c>
      <c r="C86" s="29" t="s">
        <v>310</v>
      </c>
      <c r="D86" s="30">
        <f t="shared" si="15"/>
        <v>81.839610389610385</v>
      </c>
      <c r="E86" s="30">
        <f t="shared" si="15"/>
        <v>66.333293921521729</v>
      </c>
    </row>
    <row r="87" spans="2:5" s="42" customFormat="1" x14ac:dyDescent="0.25">
      <c r="B87" s="9" t="s">
        <v>308</v>
      </c>
      <c r="C87" s="29" t="s">
        <v>310</v>
      </c>
      <c r="D87" s="17">
        <f t="shared" si="15"/>
        <v>1563.962649315403</v>
      </c>
      <c r="E87" s="17">
        <f t="shared" si="15"/>
        <v>1515.1432441474751</v>
      </c>
    </row>
    <row r="88" spans="2:5" s="42" customFormat="1" x14ac:dyDescent="0.25">
      <c r="B88" s="41" t="s">
        <v>249</v>
      </c>
      <c r="C88" s="29" t="s">
        <v>310</v>
      </c>
      <c r="D88" s="30">
        <f t="shared" ref="D88:E88" si="16">SUM(D84:D87)</f>
        <v>4046.7668112608399</v>
      </c>
      <c r="E88" s="30">
        <f t="shared" si="16"/>
        <v>3457.2574791596562</v>
      </c>
    </row>
    <row r="89" spans="2:5" s="42" customFormat="1" x14ac:dyDescent="0.25">
      <c r="B89" s="41"/>
      <c r="C89" s="29"/>
      <c r="D89" s="30"/>
      <c r="E89" s="30"/>
    </row>
    <row r="90" spans="2:5" x14ac:dyDescent="0.25">
      <c r="B90" s="41" t="s">
        <v>249</v>
      </c>
      <c r="C90" s="29" t="s">
        <v>37</v>
      </c>
      <c r="D90" s="121">
        <f>D88*D51</f>
        <v>57464.088719903921</v>
      </c>
      <c r="E90" s="121">
        <f>E88*E51</f>
        <v>54244.369848015005</v>
      </c>
    </row>
    <row r="91" spans="2:5" x14ac:dyDescent="0.25">
      <c r="B91" s="41" t="s">
        <v>250</v>
      </c>
      <c r="C91" s="29" t="s">
        <v>37</v>
      </c>
      <c r="D91" s="31">
        <f>D8</f>
        <v>52607</v>
      </c>
      <c r="E91" s="31">
        <f>E8</f>
        <v>51600</v>
      </c>
    </row>
    <row r="92" spans="2:5" x14ac:dyDescent="0.25">
      <c r="B92" s="9" t="s">
        <v>42</v>
      </c>
      <c r="C92" s="117" t="s">
        <v>40</v>
      </c>
      <c r="D92" s="49">
        <f>D91/D90-1</f>
        <v>-8.4523897065151954E-2</v>
      </c>
      <c r="E92" s="49">
        <f>E91/E90-1</f>
        <v>-4.8749203934420393E-2</v>
      </c>
    </row>
    <row r="94" spans="2:5" x14ac:dyDescent="0.25">
      <c r="B94" s="9" t="s">
        <v>106</v>
      </c>
      <c r="C94" s="24" t="s">
        <v>40</v>
      </c>
      <c r="D94" s="49">
        <f>D9/D8</f>
        <v>4.2009618491835689E-2</v>
      </c>
      <c r="E94" s="49">
        <f>E9/E8</f>
        <v>5.2519379844961238E-2</v>
      </c>
    </row>
    <row r="96" spans="2:5" x14ac:dyDescent="0.25">
      <c r="B96" s="9" t="s">
        <v>74</v>
      </c>
      <c r="C96" s="24" t="s">
        <v>37</v>
      </c>
      <c r="D96" s="31">
        <f>D7-D25</f>
        <v>40749</v>
      </c>
      <c r="E96" s="31">
        <f>E7-E25</f>
        <v>40945</v>
      </c>
    </row>
    <row r="97" spans="2:5" x14ac:dyDescent="0.25">
      <c r="B97" s="9" t="s">
        <v>397</v>
      </c>
      <c r="C97" s="24" t="s">
        <v>37</v>
      </c>
      <c r="D97" s="153">
        <f>D103</f>
        <v>23023.140000000003</v>
      </c>
      <c r="E97" s="153">
        <f>E103</f>
        <v>24439.499999999996</v>
      </c>
    </row>
    <row r="98" spans="2:5" x14ac:dyDescent="0.25">
      <c r="B98" s="9" t="s">
        <v>399</v>
      </c>
      <c r="C98" s="24" t="s">
        <v>37</v>
      </c>
      <c r="D98" s="48">
        <f>D111</f>
        <v>18361</v>
      </c>
      <c r="E98" s="48">
        <f>E111</f>
        <v>17915</v>
      </c>
    </row>
    <row r="99" spans="2:5" x14ac:dyDescent="0.25">
      <c r="B99" s="9" t="s">
        <v>51</v>
      </c>
      <c r="C99" s="24" t="s">
        <v>37</v>
      </c>
      <c r="D99" s="47">
        <f>D96-D97-D98</f>
        <v>-635.14000000000306</v>
      </c>
      <c r="E99" s="47">
        <f>E96-E97-E98</f>
        <v>-1409.4999999999964</v>
      </c>
    </row>
    <row r="100" spans="2:5" x14ac:dyDescent="0.25">
      <c r="B100" s="9"/>
      <c r="D100" s="48"/>
      <c r="E100" s="48"/>
    </row>
    <row r="101" spans="2:5" x14ac:dyDescent="0.25">
      <c r="B101" s="9" t="s">
        <v>416</v>
      </c>
      <c r="C101" s="24" t="s">
        <v>40</v>
      </c>
      <c r="D101" s="55">
        <f>D97/D96</f>
        <v>0.56499889567842165</v>
      </c>
      <c r="E101" s="55">
        <f>E97/E96</f>
        <v>0.59688606667480759</v>
      </c>
    </row>
    <row r="102" spans="2:5" x14ac:dyDescent="0.25">
      <c r="B102" s="9"/>
      <c r="D102" s="32"/>
      <c r="E102" s="32"/>
    </row>
    <row r="103" spans="2:5" x14ac:dyDescent="0.25">
      <c r="B103" s="9" t="s">
        <v>409</v>
      </c>
      <c r="C103" s="24" t="s">
        <v>37</v>
      </c>
      <c r="D103" s="31">
        <f>D7*(1-D71)</f>
        <v>23023.140000000003</v>
      </c>
      <c r="E103" s="31">
        <f>E7*(1-E71)</f>
        <v>24439.499999999996</v>
      </c>
    </row>
    <row r="104" spans="2:5" x14ac:dyDescent="0.25">
      <c r="B104" s="9" t="s">
        <v>408</v>
      </c>
      <c r="C104" s="24" t="s">
        <v>37</v>
      </c>
      <c r="D104" s="47">
        <f t="shared" ref="D104:E104" si="17">SUM(D105:D107)</f>
        <v>10942.530902842922</v>
      </c>
      <c r="E104" s="47">
        <f t="shared" si="17"/>
        <v>10888.326229687584</v>
      </c>
    </row>
    <row r="105" spans="2:5" x14ac:dyDescent="0.25">
      <c r="B105" s="9" t="s">
        <v>210</v>
      </c>
      <c r="C105" s="24" t="s">
        <v>37</v>
      </c>
      <c r="D105" s="31">
        <f>Mining!D62*Mining!D77</f>
        <v>7449.8976982097183</v>
      </c>
      <c r="E105" s="31">
        <f>Mining!E62*Mining!E77</f>
        <v>7428.6632653061215</v>
      </c>
    </row>
    <row r="106" spans="2:5" x14ac:dyDescent="0.25">
      <c r="B106" s="41" t="s">
        <v>300</v>
      </c>
      <c r="C106" s="24" t="s">
        <v>37</v>
      </c>
      <c r="D106" s="48">
        <f>Gas!D74*Gas!D141</f>
        <v>2444.8432432432433</v>
      </c>
      <c r="E106" s="48">
        <f>Gas!E74*Gas!E141</f>
        <v>2421.7640750670239</v>
      </c>
    </row>
    <row r="107" spans="2:5" x14ac:dyDescent="0.25">
      <c r="B107" s="41" t="s">
        <v>232</v>
      </c>
      <c r="C107" s="24" t="s">
        <v>37</v>
      </c>
      <c r="D107" s="47">
        <f>D106/D69*D66</f>
        <v>1047.7899613899613</v>
      </c>
      <c r="E107" s="47">
        <f>E106/E69*E66</f>
        <v>1037.8988893144387</v>
      </c>
    </row>
    <row r="108" spans="2:5" x14ac:dyDescent="0.25">
      <c r="B108" s="9" t="s">
        <v>398</v>
      </c>
      <c r="D108" s="121">
        <f>D103-D104</f>
        <v>12080.609097157081</v>
      </c>
      <c r="E108" s="121">
        <f>E103-E104</f>
        <v>13551.173770312413</v>
      </c>
    </row>
    <row r="109" spans="2:5" x14ac:dyDescent="0.25">
      <c r="B109" s="9" t="s">
        <v>227</v>
      </c>
      <c r="C109" s="24" t="s">
        <v>40</v>
      </c>
      <c r="D109" s="32"/>
      <c r="E109" s="32">
        <f>E108/D108-1</f>
        <v>0.12172934835722793</v>
      </c>
    </row>
    <row r="110" spans="2:5" x14ac:dyDescent="0.25">
      <c r="B110" s="9"/>
      <c r="D110" s="32"/>
      <c r="E110" s="32"/>
    </row>
    <row r="111" spans="2:5" x14ac:dyDescent="0.25">
      <c r="B111" s="9" t="s">
        <v>399</v>
      </c>
      <c r="C111" s="24" t="s">
        <v>37</v>
      </c>
      <c r="D111" s="121">
        <f>D72</f>
        <v>18361</v>
      </c>
      <c r="E111" s="121">
        <f>E72</f>
        <v>17915</v>
      </c>
    </row>
    <row r="112" spans="2:5" x14ac:dyDescent="0.25">
      <c r="B112" s="9" t="s">
        <v>227</v>
      </c>
      <c r="C112" s="24" t="s">
        <v>40</v>
      </c>
      <c r="D112" s="32"/>
      <c r="E112" s="32">
        <f t="shared" ref="E112" si="18">E111/D111-1</f>
        <v>-2.4290615979521868E-2</v>
      </c>
    </row>
    <row r="113" spans="2:5" x14ac:dyDescent="0.25">
      <c r="B113" s="9"/>
      <c r="D113" s="32"/>
      <c r="E113" s="32"/>
    </row>
    <row r="114" spans="2:5" x14ac:dyDescent="0.25">
      <c r="B114" s="1" t="s">
        <v>48</v>
      </c>
      <c r="C114" s="37" t="s">
        <v>228</v>
      </c>
    </row>
    <row r="115" spans="2:5" x14ac:dyDescent="0.25">
      <c r="B115" s="9" t="s">
        <v>49</v>
      </c>
      <c r="C115" s="171">
        <v>0.47499999999999998</v>
      </c>
    </row>
    <row r="116" spans="2:5" x14ac:dyDescent="0.25">
      <c r="B116" s="9" t="s">
        <v>50</v>
      </c>
      <c r="C116" s="171">
        <v>0.21</v>
      </c>
    </row>
    <row r="117" spans="2:5" x14ac:dyDescent="0.25">
      <c r="B117" s="9" t="s">
        <v>213</v>
      </c>
      <c r="C117" s="171">
        <v>0.13500000000000001</v>
      </c>
    </row>
    <row r="118" spans="2:5" x14ac:dyDescent="0.25">
      <c r="B118" s="9" t="s">
        <v>51</v>
      </c>
      <c r="C118" s="171">
        <v>0.18</v>
      </c>
    </row>
    <row r="119" spans="2:5" x14ac:dyDescent="0.25">
      <c r="B119" s="1" t="s">
        <v>53</v>
      </c>
      <c r="C119" s="44">
        <f>SUM(C115:C118)</f>
        <v>1</v>
      </c>
    </row>
    <row r="121" spans="2:5" x14ac:dyDescent="0.25">
      <c r="B121" s="1" t="s">
        <v>199</v>
      </c>
      <c r="C121" s="24" t="s">
        <v>40</v>
      </c>
      <c r="D121" s="32"/>
      <c r="E121" s="32">
        <f>E46/D46-1</f>
        <v>-5.0858951175406508E-3</v>
      </c>
    </row>
    <row r="122" spans="2:5" x14ac:dyDescent="0.25">
      <c r="D122" s="32"/>
      <c r="E122" s="32"/>
    </row>
    <row r="123" spans="2:5" x14ac:dyDescent="0.25">
      <c r="B123" s="9" t="s">
        <v>55</v>
      </c>
      <c r="C123" s="24" t="s">
        <v>40</v>
      </c>
      <c r="D123" s="32">
        <f>D33/D7</f>
        <v>0.3610376343105241</v>
      </c>
      <c r="E123" s="32">
        <f>E33/E7</f>
        <v>0.33601546676486838</v>
      </c>
    </row>
    <row r="124" spans="2:5" x14ac:dyDescent="0.25">
      <c r="B124" s="9"/>
    </row>
    <row r="125" spans="2:5" x14ac:dyDescent="0.25">
      <c r="B125" s="9" t="s">
        <v>56</v>
      </c>
      <c r="C125" s="24" t="s">
        <v>40</v>
      </c>
      <c r="D125" s="32">
        <f>D36/D7</f>
        <v>8.7162741485305659E-2</v>
      </c>
      <c r="E125" s="32">
        <f>E36/E7</f>
        <v>8.8013257227030017E-2</v>
      </c>
    </row>
    <row r="127" spans="2:5" x14ac:dyDescent="0.25">
      <c r="B127" s="9" t="s">
        <v>52</v>
      </c>
      <c r="C127" s="24" t="s">
        <v>40</v>
      </c>
      <c r="D127" s="32">
        <f>D40/D7</f>
        <v>0.1595855300363026</v>
      </c>
      <c r="E127" s="32">
        <f>E40/E7</f>
        <v>0.12603572086171977</v>
      </c>
    </row>
    <row r="129" spans="2:5" x14ac:dyDescent="0.25">
      <c r="B129" s="9" t="s">
        <v>187</v>
      </c>
    </row>
    <row r="130" spans="2:5" x14ac:dyDescent="0.25">
      <c r="B130" s="9" t="s">
        <v>190</v>
      </c>
      <c r="C130" s="24" t="s">
        <v>40</v>
      </c>
      <c r="D130" s="32">
        <f t="shared" ref="D130" si="19">D134/D137</f>
        <v>5.6510195588847276E-2</v>
      </c>
      <c r="E130" s="32">
        <f>E134/E137</f>
        <v>-0.19300534830415572</v>
      </c>
    </row>
    <row r="131" spans="2:5" x14ac:dyDescent="0.25">
      <c r="B131" s="9"/>
    </row>
    <row r="132" spans="2:5" x14ac:dyDescent="0.25">
      <c r="B132" s="1" t="s">
        <v>191</v>
      </c>
      <c r="C132" s="24" t="s">
        <v>37</v>
      </c>
      <c r="D132" s="31">
        <f>D18</f>
        <v>4737</v>
      </c>
      <c r="E132" s="31">
        <f>E18</f>
        <v>-16139</v>
      </c>
    </row>
    <row r="133" spans="2:5" x14ac:dyDescent="0.25">
      <c r="B133" s="1" t="s">
        <v>177</v>
      </c>
      <c r="C133" s="24" t="s">
        <v>40</v>
      </c>
      <c r="D133" s="38">
        <f>D74</f>
        <v>0.14000000000000001</v>
      </c>
      <c r="E133" s="38">
        <f>E74</f>
        <v>0.28000000000000003</v>
      </c>
    </row>
    <row r="134" spans="2:5" x14ac:dyDescent="0.25">
      <c r="B134" s="1" t="s">
        <v>186</v>
      </c>
      <c r="C134" s="24" t="s">
        <v>37</v>
      </c>
      <c r="D134" s="31">
        <f t="shared" ref="D134" si="20">D132*(1-D133)</f>
        <v>4073.82</v>
      </c>
      <c r="E134" s="31">
        <f t="shared" ref="E134" si="21">E132*(1-E133)</f>
        <v>-11620.08</v>
      </c>
    </row>
    <row r="135" spans="2:5" x14ac:dyDescent="0.25">
      <c r="D135" s="31"/>
      <c r="E135" s="31"/>
    </row>
    <row r="136" spans="2:5" x14ac:dyDescent="0.25">
      <c r="B136" s="1" t="s">
        <v>188</v>
      </c>
      <c r="C136" s="24" t="s">
        <v>37</v>
      </c>
      <c r="D136" s="31">
        <f>D34-D37</f>
        <v>72090</v>
      </c>
      <c r="E136" s="31">
        <f>E34-E37</f>
        <v>48322</v>
      </c>
    </row>
    <row r="137" spans="2:5" x14ac:dyDescent="0.25">
      <c r="B137" s="1" t="s">
        <v>189</v>
      </c>
      <c r="C137" s="24" t="s">
        <v>37</v>
      </c>
      <c r="D137" s="31">
        <f>AVERAGE(D136:D136)</f>
        <v>72090</v>
      </c>
      <c r="E137" s="31">
        <f t="shared" ref="E137" si="22">AVERAGE(D136:E136)</f>
        <v>60206</v>
      </c>
    </row>
  </sheetData>
  <pageMargins left="0.7" right="0.7" top="0.75" bottom="0.75" header="0.3" footer="0.3"/>
  <pageSetup paperSize="9" scale="2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B1:E133"/>
  <sheetViews>
    <sheetView view="pageBreakPreview" zoomScale="80" zoomScaleNormal="80" zoomScaleSheetLayoutView="80" workbookViewId="0">
      <pane xSplit="3" ySplit="4" topLeftCell="D92" activePane="bottomRight" state="frozen"/>
      <selection activeCell="B31" sqref="B31"/>
      <selection pane="topRight" activeCell="B31" sqref="B31"/>
      <selection pane="bottomLeft" activeCell="B31" sqref="B31"/>
      <selection pane="bottomRight" activeCell="C112" sqref="C112"/>
    </sheetView>
  </sheetViews>
  <sheetFormatPr defaultColWidth="9.21875" defaultRowHeight="13.2"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334</v>
      </c>
      <c r="C4" s="23" t="s">
        <v>2</v>
      </c>
      <c r="D4" s="5" t="s">
        <v>234</v>
      </c>
      <c r="E4" s="5" t="s">
        <v>235</v>
      </c>
    </row>
    <row r="5" spans="2:5" x14ac:dyDescent="0.25">
      <c r="D5" s="12"/>
      <c r="E5" s="12"/>
    </row>
    <row r="6" spans="2:5" x14ac:dyDescent="0.25">
      <c r="B6" s="39" t="s">
        <v>4</v>
      </c>
      <c r="D6" s="12"/>
      <c r="E6" s="12"/>
    </row>
    <row r="7" spans="2:5" s="2" customFormat="1" x14ac:dyDescent="0.25">
      <c r="B7" s="2" t="s">
        <v>5</v>
      </c>
      <c r="C7" s="141" t="s">
        <v>37</v>
      </c>
      <c r="D7" s="18">
        <f t="shared" ref="D7:E7" si="0">SUM(D8:D9)</f>
        <v>21424</v>
      </c>
      <c r="E7" s="18">
        <f t="shared" si="0"/>
        <v>28809</v>
      </c>
    </row>
    <row r="8" spans="2:5" x14ac:dyDescent="0.25">
      <c r="B8" s="13" t="s">
        <v>7</v>
      </c>
      <c r="C8" s="26" t="s">
        <v>37</v>
      </c>
      <c r="D8" s="75">
        <v>21419</v>
      </c>
      <c r="E8" s="75">
        <v>28721</v>
      </c>
    </row>
    <row r="9" spans="2:5" x14ac:dyDescent="0.25">
      <c r="B9" s="15" t="s">
        <v>11</v>
      </c>
      <c r="C9" s="27" t="s">
        <v>37</v>
      </c>
      <c r="D9" s="53">
        <v>5</v>
      </c>
      <c r="E9" s="53">
        <v>88</v>
      </c>
    </row>
    <row r="10" spans="2:5" x14ac:dyDescent="0.25">
      <c r="B10" s="9"/>
      <c r="D10" s="12"/>
      <c r="E10" s="12"/>
    </row>
    <row r="11" spans="2:5" x14ac:dyDescent="0.25">
      <c r="B11" s="1" t="s">
        <v>214</v>
      </c>
      <c r="C11" s="24" t="s">
        <v>37</v>
      </c>
      <c r="D11" s="52">
        <f>-15382-D17-D12</f>
        <v>-1584</v>
      </c>
      <c r="E11" s="52">
        <f>-77556-E12-E14-E17</f>
        <v>-4363</v>
      </c>
    </row>
    <row r="12" spans="2:5" x14ac:dyDescent="0.25">
      <c r="B12" s="16" t="s">
        <v>8</v>
      </c>
      <c r="C12" s="27" t="s">
        <v>37</v>
      </c>
      <c r="D12" s="53">
        <v>-33</v>
      </c>
      <c r="E12" s="53">
        <v>-27</v>
      </c>
    </row>
    <row r="13" spans="2:5" s="94" customFormat="1" x14ac:dyDescent="0.25">
      <c r="B13" s="94" t="s">
        <v>215</v>
      </c>
      <c r="C13" s="95" t="s">
        <v>37</v>
      </c>
      <c r="D13" s="96">
        <f t="shared" ref="D13:E13" si="1">SUM(D11:D12)</f>
        <v>-1617</v>
      </c>
      <c r="E13" s="96">
        <f t="shared" si="1"/>
        <v>-4390</v>
      </c>
    </row>
    <row r="14" spans="2:5" s="97" customFormat="1" x14ac:dyDescent="0.25">
      <c r="B14" s="97" t="s">
        <v>216</v>
      </c>
      <c r="C14" s="24" t="s">
        <v>37</v>
      </c>
      <c r="D14" s="100"/>
      <c r="E14" s="100"/>
    </row>
    <row r="15" spans="2:5" s="97" customFormat="1" x14ac:dyDescent="0.25">
      <c r="B15" s="99" t="s">
        <v>217</v>
      </c>
      <c r="C15" s="27" t="s">
        <v>37</v>
      </c>
      <c r="D15" s="101"/>
      <c r="E15" s="101"/>
    </row>
    <row r="16" spans="2:5" s="97" customFormat="1" x14ac:dyDescent="0.25">
      <c r="B16" s="97" t="s">
        <v>218</v>
      </c>
      <c r="C16" s="24" t="s">
        <v>37</v>
      </c>
      <c r="D16" s="98">
        <f t="shared" ref="D16:E16" si="2">SUM(D13:D15)</f>
        <v>-1617</v>
      </c>
      <c r="E16" s="98">
        <f t="shared" si="2"/>
        <v>-4390</v>
      </c>
    </row>
    <row r="17" spans="2:5" x14ac:dyDescent="0.25">
      <c r="B17" s="16" t="s">
        <v>9</v>
      </c>
      <c r="C17" s="27" t="s">
        <v>37</v>
      </c>
      <c r="D17" s="53">
        <v>-13765</v>
      </c>
      <c r="E17" s="53">
        <v>-73166</v>
      </c>
    </row>
    <row r="18" spans="2:5" s="2" customFormat="1" x14ac:dyDescent="0.25">
      <c r="B18" s="2" t="s">
        <v>392</v>
      </c>
      <c r="C18" s="141" t="s">
        <v>37</v>
      </c>
      <c r="D18" s="18">
        <f t="shared" ref="D18:E18" si="3">SUM(D16:D17)</f>
        <v>-15382</v>
      </c>
      <c r="E18" s="18">
        <f t="shared" si="3"/>
        <v>-77556</v>
      </c>
    </row>
    <row r="19" spans="2:5" x14ac:dyDescent="0.25">
      <c r="B19" s="1" t="s">
        <v>108</v>
      </c>
      <c r="C19" s="24" t="s">
        <v>37</v>
      </c>
      <c r="D19" s="52">
        <v>1503</v>
      </c>
      <c r="E19" s="52">
        <v>4415</v>
      </c>
    </row>
    <row r="20" spans="2:5" x14ac:dyDescent="0.25">
      <c r="B20" s="1" t="s">
        <v>239</v>
      </c>
      <c r="C20" s="24" t="s">
        <v>37</v>
      </c>
      <c r="D20" s="52">
        <v>29</v>
      </c>
      <c r="E20" s="52">
        <v>670</v>
      </c>
    </row>
    <row r="21" spans="2:5" x14ac:dyDescent="0.25">
      <c r="B21" s="1" t="s">
        <v>9</v>
      </c>
      <c r="C21" s="24" t="s">
        <v>37</v>
      </c>
      <c r="D21" s="52">
        <f t="shared" ref="D21:E21" si="4">-D17</f>
        <v>13765</v>
      </c>
      <c r="E21" s="52">
        <f t="shared" si="4"/>
        <v>73166</v>
      </c>
    </row>
    <row r="22" spans="2:5" x14ac:dyDescent="0.25">
      <c r="B22" s="1" t="s">
        <v>238</v>
      </c>
      <c r="C22" s="24" t="s">
        <v>37</v>
      </c>
      <c r="D22" s="52">
        <v>29</v>
      </c>
      <c r="E22" s="52">
        <v>72</v>
      </c>
    </row>
    <row r="23" spans="2:5" x14ac:dyDescent="0.25">
      <c r="B23" s="1" t="s">
        <v>376</v>
      </c>
      <c r="C23" s="24" t="s">
        <v>37</v>
      </c>
      <c r="D23" s="52">
        <f>29-29</f>
        <v>0</v>
      </c>
      <c r="E23" s="52">
        <v>-17</v>
      </c>
    </row>
    <row r="24" spans="2:5" x14ac:dyDescent="0.25">
      <c r="B24" s="1" t="s">
        <v>243</v>
      </c>
      <c r="C24" s="29" t="s">
        <v>37</v>
      </c>
      <c r="D24" s="52">
        <v>120</v>
      </c>
      <c r="E24" s="52">
        <v>54</v>
      </c>
    </row>
    <row r="25" spans="2:5" s="2" customFormat="1" ht="13.8" thickBot="1" x14ac:dyDescent="0.3">
      <c r="B25" s="19" t="s">
        <v>244</v>
      </c>
      <c r="C25" s="28" t="s">
        <v>37</v>
      </c>
      <c r="D25" s="20">
        <f>SUM(D18:D24)</f>
        <v>64</v>
      </c>
      <c r="E25" s="20">
        <f>SUM(E18:E24)</f>
        <v>804</v>
      </c>
    </row>
    <row r="26" spans="2:5" x14ac:dyDescent="0.25">
      <c r="D26" s="12"/>
      <c r="E26" s="12"/>
    </row>
    <row r="27" spans="2:5" x14ac:dyDescent="0.25">
      <c r="B27" s="39" t="s">
        <v>21</v>
      </c>
      <c r="D27" s="12"/>
      <c r="E27" s="12"/>
    </row>
    <row r="28" spans="2:5" x14ac:dyDescent="0.25">
      <c r="B28" s="1" t="s">
        <v>12</v>
      </c>
      <c r="C28" s="24" t="s">
        <v>37</v>
      </c>
      <c r="D28" s="159">
        <v>84594</v>
      </c>
      <c r="E28" s="159">
        <v>96699</v>
      </c>
    </row>
    <row r="29" spans="2:5" x14ac:dyDescent="0.25">
      <c r="B29" s="1" t="s">
        <v>368</v>
      </c>
      <c r="C29" s="24" t="s">
        <v>37</v>
      </c>
      <c r="D29" s="159">
        <v>0</v>
      </c>
      <c r="E29" s="159">
        <v>4041</v>
      </c>
    </row>
    <row r="30" spans="2:5" x14ac:dyDescent="0.25">
      <c r="B30" s="1" t="s">
        <v>13</v>
      </c>
      <c r="C30" s="24" t="s">
        <v>37</v>
      </c>
      <c r="D30" s="159">
        <v>100554</v>
      </c>
      <c r="E30" s="159">
        <v>2861</v>
      </c>
    </row>
    <row r="31" spans="2:5" x14ac:dyDescent="0.25">
      <c r="B31" s="1" t="s">
        <v>219</v>
      </c>
      <c r="C31" s="24" t="s">
        <v>37</v>
      </c>
      <c r="D31" s="159">
        <v>979</v>
      </c>
      <c r="E31" s="159">
        <v>550</v>
      </c>
    </row>
    <row r="32" spans="2:5" x14ac:dyDescent="0.25">
      <c r="B32" s="1" t="s">
        <v>14</v>
      </c>
      <c r="C32" s="24" t="s">
        <v>37</v>
      </c>
      <c r="D32" s="159">
        <v>2325</v>
      </c>
      <c r="E32" s="159">
        <v>1755</v>
      </c>
    </row>
    <row r="33" spans="2:5" x14ac:dyDescent="0.25">
      <c r="B33" s="1" t="s">
        <v>15</v>
      </c>
      <c r="C33" s="24" t="s">
        <v>37</v>
      </c>
      <c r="D33" s="159">
        <v>10234</v>
      </c>
      <c r="E33" s="159">
        <v>82306</v>
      </c>
    </row>
    <row r="34" spans="2:5" ht="13.8" thickBot="1" x14ac:dyDescent="0.3">
      <c r="B34" s="19" t="s">
        <v>16</v>
      </c>
      <c r="C34" s="28" t="s">
        <v>37</v>
      </c>
      <c r="D34" s="20">
        <f t="shared" ref="D34:E34" si="5">SUM(D28:D33)</f>
        <v>198686</v>
      </c>
      <c r="E34" s="20">
        <f t="shared" si="5"/>
        <v>188212</v>
      </c>
    </row>
    <row r="35" spans="2:5" x14ac:dyDescent="0.25">
      <c r="B35" s="1" t="s">
        <v>17</v>
      </c>
      <c r="C35" s="24" t="s">
        <v>37</v>
      </c>
      <c r="D35" s="159">
        <v>5558</v>
      </c>
      <c r="E35" s="159">
        <v>8789</v>
      </c>
    </row>
    <row r="36" spans="2:5" x14ac:dyDescent="0.25">
      <c r="B36" s="1" t="s">
        <v>18</v>
      </c>
      <c r="C36" s="24" t="s">
        <v>37</v>
      </c>
      <c r="D36" s="159">
        <v>11805</v>
      </c>
      <c r="E36" s="159">
        <v>10016</v>
      </c>
    </row>
    <row r="37" spans="2:5" ht="13.8" thickBot="1" x14ac:dyDescent="0.3">
      <c r="B37" s="19" t="s">
        <v>19</v>
      </c>
      <c r="C37" s="28" t="s">
        <v>37</v>
      </c>
      <c r="D37" s="20">
        <f t="shared" ref="D37:E37" si="6">SUM(D35:D36)</f>
        <v>17363</v>
      </c>
      <c r="E37" s="20">
        <f t="shared" si="6"/>
        <v>18805</v>
      </c>
    </row>
    <row r="38" spans="2:5" x14ac:dyDescent="0.25">
      <c r="D38" s="12"/>
      <c r="E38" s="12"/>
    </row>
    <row r="39" spans="2:5" x14ac:dyDescent="0.25">
      <c r="B39" s="39" t="s">
        <v>20</v>
      </c>
      <c r="D39" s="12"/>
      <c r="E39" s="12"/>
    </row>
    <row r="40" spans="2:5" x14ac:dyDescent="0.25">
      <c r="B40" s="16" t="s">
        <v>223</v>
      </c>
      <c r="C40" s="27" t="s">
        <v>37</v>
      </c>
      <c r="D40" s="122">
        <v>31866</v>
      </c>
      <c r="E40" s="122">
        <v>15654</v>
      </c>
    </row>
    <row r="41" spans="2:5" x14ac:dyDescent="0.25">
      <c r="D41" s="12"/>
      <c r="E41" s="12"/>
    </row>
    <row r="42" spans="2:5" x14ac:dyDescent="0.25">
      <c r="B42" s="2" t="s">
        <v>22</v>
      </c>
      <c r="D42" s="12"/>
      <c r="E42" s="12"/>
    </row>
    <row r="43" spans="2:5" x14ac:dyDescent="0.25">
      <c r="B43" s="1" t="s">
        <v>220</v>
      </c>
      <c r="C43" s="24" t="s">
        <v>37</v>
      </c>
      <c r="D43" s="52">
        <v>13021</v>
      </c>
      <c r="E43" s="52">
        <v>3833</v>
      </c>
    </row>
    <row r="44" spans="2:5" x14ac:dyDescent="0.25">
      <c r="B44" s="1" t="s">
        <v>221</v>
      </c>
      <c r="C44" s="24" t="s">
        <v>37</v>
      </c>
      <c r="D44" s="52">
        <v>0</v>
      </c>
      <c r="E44" s="52">
        <v>0</v>
      </c>
    </row>
    <row r="45" spans="2:5" x14ac:dyDescent="0.25">
      <c r="D45" s="12"/>
      <c r="E45" s="12"/>
    </row>
    <row r="46" spans="2:5" x14ac:dyDescent="0.25">
      <c r="B46" s="16" t="s">
        <v>23</v>
      </c>
      <c r="C46" s="27" t="s">
        <v>198</v>
      </c>
      <c r="D46" s="122">
        <v>1758</v>
      </c>
      <c r="E46" s="122">
        <v>1748</v>
      </c>
    </row>
    <row r="47" spans="2:5" x14ac:dyDescent="0.25">
      <c r="D47" s="12"/>
      <c r="E47" s="12"/>
    </row>
    <row r="48" spans="2:5" x14ac:dyDescent="0.25">
      <c r="B48" s="39" t="s">
        <v>54</v>
      </c>
      <c r="D48" s="12"/>
      <c r="E48" s="12"/>
    </row>
    <row r="49" spans="2:5" x14ac:dyDescent="0.25">
      <c r="D49" s="12"/>
      <c r="E49" s="12"/>
    </row>
    <row r="50" spans="2:5" x14ac:dyDescent="0.25">
      <c r="B50" s="2" t="s">
        <v>1</v>
      </c>
      <c r="D50" s="12"/>
      <c r="E50" s="12"/>
    </row>
    <row r="51" spans="2:5" x14ac:dyDescent="0.25">
      <c r="B51" s="1" t="str">
        <f>Assumptions!B7</f>
        <v>R/US$ exchange rate - avg</v>
      </c>
      <c r="C51" s="24" t="str">
        <f>Assumptions!C7</f>
        <v>R:1US$</v>
      </c>
      <c r="D51" s="35">
        <f>Assumptions!E7</f>
        <v>14.2</v>
      </c>
      <c r="E51" s="35">
        <f>Assumptions!F7</f>
        <v>15.69</v>
      </c>
    </row>
    <row r="52" spans="2:5" x14ac:dyDescent="0.25">
      <c r="B52" s="1" t="s">
        <v>240</v>
      </c>
      <c r="C52" s="24" t="s">
        <v>241</v>
      </c>
      <c r="D52" s="35">
        <f>Assumptions!E19</f>
        <v>31.92</v>
      </c>
      <c r="E52" s="35">
        <f>Assumptions!F19</f>
        <v>17.23</v>
      </c>
    </row>
    <row r="53" spans="2:5" x14ac:dyDescent="0.25">
      <c r="D53" s="10"/>
      <c r="E53" s="10"/>
    </row>
    <row r="54" spans="2:5" s="2" customFormat="1" x14ac:dyDescent="0.25">
      <c r="B54" s="2" t="s">
        <v>305</v>
      </c>
      <c r="C54" s="141"/>
      <c r="D54" s="45"/>
      <c r="E54" s="45"/>
    </row>
    <row r="55" spans="2:5" x14ac:dyDescent="0.25">
      <c r="B55" s="43" t="s">
        <v>58</v>
      </c>
    </row>
    <row r="56" spans="2:5" x14ac:dyDescent="0.25">
      <c r="B56" s="9" t="s">
        <v>261</v>
      </c>
      <c r="C56" s="29" t="s">
        <v>141</v>
      </c>
      <c r="D56" s="92">
        <v>20</v>
      </c>
      <c r="E56" s="92">
        <v>20</v>
      </c>
    </row>
    <row r="57" spans="2:5" x14ac:dyDescent="0.25">
      <c r="B57" s="9" t="s">
        <v>306</v>
      </c>
      <c r="C57" s="29" t="s">
        <v>141</v>
      </c>
      <c r="D57" s="92">
        <v>482</v>
      </c>
      <c r="E57" s="92">
        <v>1578</v>
      </c>
    </row>
    <row r="58" spans="2:5" x14ac:dyDescent="0.25">
      <c r="B58" s="9" t="s">
        <v>307</v>
      </c>
      <c r="C58" s="29" t="s">
        <v>141</v>
      </c>
      <c r="D58" s="92">
        <v>359</v>
      </c>
      <c r="E58" s="92">
        <v>359</v>
      </c>
    </row>
    <row r="59" spans="2:5" x14ac:dyDescent="0.25">
      <c r="B59" s="9" t="s">
        <v>308</v>
      </c>
      <c r="C59" s="29" t="s">
        <v>141</v>
      </c>
      <c r="D59" s="92">
        <v>121</v>
      </c>
      <c r="E59" s="92">
        <v>104</v>
      </c>
    </row>
    <row r="60" spans="2:5" x14ac:dyDescent="0.25">
      <c r="B60" s="1" t="s">
        <v>170</v>
      </c>
      <c r="C60" s="29" t="s">
        <v>141</v>
      </c>
      <c r="D60" s="12">
        <f>SUM(D56:D59)</f>
        <v>982</v>
      </c>
      <c r="E60" s="12">
        <f>SUM(E56:E59)</f>
        <v>2061</v>
      </c>
    </row>
    <row r="61" spans="2:5" x14ac:dyDescent="0.25">
      <c r="D61" s="12"/>
      <c r="E61" s="12"/>
    </row>
    <row r="62" spans="2:5" x14ac:dyDescent="0.25">
      <c r="B62" s="1" t="s">
        <v>309</v>
      </c>
      <c r="C62" s="29" t="s">
        <v>310</v>
      </c>
      <c r="D62" s="92">
        <f>D8/D51</f>
        <v>1508.3802816901409</v>
      </c>
      <c r="E62" s="92">
        <f>E8/E51</f>
        <v>1830.5289993626513</v>
      </c>
    </row>
    <row r="63" spans="2:5" x14ac:dyDescent="0.25">
      <c r="B63" s="1" t="s">
        <v>335</v>
      </c>
      <c r="C63" s="29" t="s">
        <v>33</v>
      </c>
      <c r="D63" s="12">
        <f>D62/D60*1000</f>
        <v>1536.0288000917933</v>
      </c>
      <c r="E63" s="12">
        <f>E62/E60*1000</f>
        <v>888.17515738119914</v>
      </c>
    </row>
    <row r="64" spans="2:5" x14ac:dyDescent="0.25">
      <c r="D64" s="12"/>
      <c r="E64" s="12"/>
    </row>
    <row r="65" spans="2:5" x14ac:dyDescent="0.25">
      <c r="B65" s="2" t="s">
        <v>396</v>
      </c>
      <c r="C65" s="24" t="s">
        <v>40</v>
      </c>
      <c r="D65" s="165">
        <v>0.39</v>
      </c>
      <c r="E65" s="165">
        <v>0.36</v>
      </c>
    </row>
    <row r="66" spans="2:5" x14ac:dyDescent="0.25">
      <c r="B66" s="2" t="s">
        <v>400</v>
      </c>
      <c r="C66" s="24" t="s">
        <v>37</v>
      </c>
      <c r="D66" s="166">
        <v>7951</v>
      </c>
      <c r="E66" s="166">
        <v>9242</v>
      </c>
    </row>
    <row r="67" spans="2:5" x14ac:dyDescent="0.25">
      <c r="B67" s="2"/>
      <c r="D67" s="167"/>
      <c r="E67" s="167"/>
    </row>
    <row r="68" spans="2:5" x14ac:dyDescent="0.25">
      <c r="B68" s="2" t="s">
        <v>177</v>
      </c>
      <c r="C68" s="24" t="s">
        <v>40</v>
      </c>
      <c r="D68" s="165">
        <v>0.24</v>
      </c>
      <c r="E68" s="165">
        <v>0.24</v>
      </c>
    </row>
    <row r="69" spans="2:5" x14ac:dyDescent="0.25">
      <c r="D69" s="12"/>
      <c r="E69" s="12"/>
    </row>
    <row r="70" spans="2:5" x14ac:dyDescent="0.25">
      <c r="B70" s="39" t="s">
        <v>38</v>
      </c>
      <c r="D70" s="12"/>
      <c r="E70" s="12"/>
    </row>
    <row r="71" spans="2:5" s="42" customFormat="1" x14ac:dyDescent="0.25">
      <c r="B71" s="2" t="s">
        <v>330</v>
      </c>
      <c r="C71" s="29"/>
      <c r="D71" s="12"/>
      <c r="E71" s="12"/>
    </row>
    <row r="72" spans="2:5" s="42" customFormat="1" x14ac:dyDescent="0.25">
      <c r="B72" s="9" t="s">
        <v>261</v>
      </c>
      <c r="C72" s="29" t="s">
        <v>33</v>
      </c>
      <c r="D72" s="12">
        <f>Chem!D38</f>
        <v>2943.1818181818185</v>
      </c>
      <c r="E72" s="12">
        <f>Chem!E38</f>
        <v>2405.7427362776248</v>
      </c>
    </row>
    <row r="73" spans="2:5" s="42" customFormat="1" x14ac:dyDescent="0.25">
      <c r="B73" s="9" t="s">
        <v>306</v>
      </c>
      <c r="C73" s="29" t="s">
        <v>33</v>
      </c>
      <c r="D73" s="12">
        <f>Chem!D39</f>
        <v>829.19463087248323</v>
      </c>
      <c r="E73" s="12">
        <f>Chem!E39</f>
        <v>651.59874766336316</v>
      </c>
    </row>
    <row r="74" spans="2:5" s="42" customFormat="1" x14ac:dyDescent="0.25">
      <c r="B74" s="9" t="s">
        <v>307</v>
      </c>
      <c r="C74" s="29" t="s">
        <v>33</v>
      </c>
      <c r="D74" s="12">
        <f>Chem!D40</f>
        <v>1903.2467532467531</v>
      </c>
      <c r="E74" s="12">
        <f>Chem!E40</f>
        <v>1700.853690295429</v>
      </c>
    </row>
    <row r="75" spans="2:5" s="42" customFormat="1" x14ac:dyDescent="0.25">
      <c r="B75" s="9" t="s">
        <v>308</v>
      </c>
      <c r="C75" s="29" t="s">
        <v>33</v>
      </c>
      <c r="D75" s="12">
        <f>Chem!D41</f>
        <v>1209.5612137010078</v>
      </c>
      <c r="E75" s="12">
        <f>Chem!E41</f>
        <v>1127.3387233240142</v>
      </c>
    </row>
    <row r="76" spans="2:5" s="42" customFormat="1" x14ac:dyDescent="0.25">
      <c r="B76" s="9"/>
      <c r="C76" s="29"/>
      <c r="D76" s="30"/>
      <c r="E76" s="30"/>
    </row>
    <row r="77" spans="2:5" s="42" customFormat="1" x14ac:dyDescent="0.25">
      <c r="B77" s="9" t="s">
        <v>331</v>
      </c>
      <c r="C77" s="29"/>
      <c r="D77" s="30"/>
      <c r="E77" s="30"/>
    </row>
    <row r="78" spans="2:5" s="42" customFormat="1" x14ac:dyDescent="0.25">
      <c r="B78" s="9" t="s">
        <v>261</v>
      </c>
      <c r="C78" s="29" t="s">
        <v>310</v>
      </c>
      <c r="D78" s="30">
        <f t="shared" ref="D78:E81" si="7">D56*D72/1000</f>
        <v>58.863636363636367</v>
      </c>
      <c r="E78" s="30">
        <f t="shared" si="7"/>
        <v>48.114854725552497</v>
      </c>
    </row>
    <row r="79" spans="2:5" s="42" customFormat="1" x14ac:dyDescent="0.25">
      <c r="B79" s="9" t="s">
        <v>306</v>
      </c>
      <c r="C79" s="29" t="s">
        <v>310</v>
      </c>
      <c r="D79" s="30">
        <f t="shared" si="7"/>
        <v>399.67181208053694</v>
      </c>
      <c r="E79" s="30">
        <f t="shared" si="7"/>
        <v>1028.2228238127871</v>
      </c>
    </row>
    <row r="80" spans="2:5" s="42" customFormat="1" x14ac:dyDescent="0.25">
      <c r="B80" s="9" t="s">
        <v>307</v>
      </c>
      <c r="C80" s="29" t="s">
        <v>310</v>
      </c>
      <c r="D80" s="30">
        <f t="shared" si="7"/>
        <v>683.26558441558439</v>
      </c>
      <c r="E80" s="30">
        <f t="shared" si="7"/>
        <v>610.60647481605895</v>
      </c>
    </row>
    <row r="81" spans="2:5" s="42" customFormat="1" x14ac:dyDescent="0.25">
      <c r="B81" s="9" t="s">
        <v>308</v>
      </c>
      <c r="C81" s="29" t="s">
        <v>310</v>
      </c>
      <c r="D81" s="17">
        <f t="shared" si="7"/>
        <v>146.35690685782194</v>
      </c>
      <c r="E81" s="17">
        <f t="shared" si="7"/>
        <v>117.24322722569747</v>
      </c>
    </row>
    <row r="82" spans="2:5" s="42" customFormat="1" x14ac:dyDescent="0.25">
      <c r="B82" s="41" t="s">
        <v>249</v>
      </c>
      <c r="C82" s="29" t="s">
        <v>310</v>
      </c>
      <c r="D82" s="30">
        <f>SUM(D78:D81)</f>
        <v>1288.1579397175797</v>
      </c>
      <c r="E82" s="30">
        <f>SUM(E78:E81)</f>
        <v>1804.187380580096</v>
      </c>
    </row>
    <row r="83" spans="2:5" s="42" customFormat="1" x14ac:dyDescent="0.25">
      <c r="B83" s="41"/>
      <c r="C83" s="29"/>
      <c r="D83" s="30"/>
      <c r="E83" s="30"/>
    </row>
    <row r="84" spans="2:5" x14ac:dyDescent="0.25">
      <c r="B84" s="41" t="s">
        <v>249</v>
      </c>
      <c r="C84" s="29" t="s">
        <v>37</v>
      </c>
      <c r="D84" s="121">
        <f>D82*D51</f>
        <v>18291.84274398963</v>
      </c>
      <c r="E84" s="121">
        <f>E82*E51</f>
        <v>28307.700001301706</v>
      </c>
    </row>
    <row r="85" spans="2:5" x14ac:dyDescent="0.25">
      <c r="B85" s="41" t="s">
        <v>250</v>
      </c>
      <c r="C85" s="29" t="s">
        <v>37</v>
      </c>
      <c r="D85" s="31">
        <f>D8</f>
        <v>21419</v>
      </c>
      <c r="E85" s="31">
        <f>E8</f>
        <v>28721</v>
      </c>
    </row>
    <row r="86" spans="2:5" x14ac:dyDescent="0.25">
      <c r="B86" s="9" t="s">
        <v>42</v>
      </c>
      <c r="C86" s="117" t="s">
        <v>40</v>
      </c>
      <c r="D86" s="49">
        <f>D85/D84-1</f>
        <v>0.17095911547992615</v>
      </c>
      <c r="E86" s="49">
        <f>E85/E84-1</f>
        <v>1.4600267725010774E-2</v>
      </c>
    </row>
    <row r="88" spans="2:5" x14ac:dyDescent="0.25">
      <c r="B88" s="9" t="s">
        <v>106</v>
      </c>
      <c r="C88" s="24" t="s">
        <v>40</v>
      </c>
      <c r="D88" s="49">
        <f>D9/D8</f>
        <v>2.3343760212895094E-4</v>
      </c>
      <c r="E88" s="49">
        <f>E9/E8</f>
        <v>3.0639601685178092E-3</v>
      </c>
    </row>
    <row r="90" spans="2:5" x14ac:dyDescent="0.25">
      <c r="B90" s="1" t="s">
        <v>336</v>
      </c>
    </row>
    <row r="91" spans="2:5" x14ac:dyDescent="0.25">
      <c r="B91" s="41" t="s">
        <v>395</v>
      </c>
      <c r="C91" s="24" t="s">
        <v>61</v>
      </c>
      <c r="D91" s="87">
        <f>33000*365/1000000</f>
        <v>12.045</v>
      </c>
      <c r="E91" s="161">
        <f>33000*365/1000000+((1/12*0%)+(1/12*30%)+(3/12*60%)+(1/12*0%)+(6/12*90%))*100000*365/1000000</f>
        <v>34.857500000000002</v>
      </c>
    </row>
    <row r="93" spans="2:5" x14ac:dyDescent="0.25">
      <c r="B93" s="9" t="s">
        <v>74</v>
      </c>
      <c r="C93" s="24" t="s">
        <v>37</v>
      </c>
      <c r="D93" s="31">
        <f>D7-D25</f>
        <v>21360</v>
      </c>
      <c r="E93" s="31">
        <f>E7-E25</f>
        <v>28005</v>
      </c>
    </row>
    <row r="94" spans="2:5" x14ac:dyDescent="0.25">
      <c r="B94" s="9" t="s">
        <v>397</v>
      </c>
      <c r="C94" s="24" t="s">
        <v>37</v>
      </c>
      <c r="D94" s="153">
        <f>D100</f>
        <v>13068.64</v>
      </c>
      <c r="E94" s="153">
        <f>E100</f>
        <v>18437.760000000002</v>
      </c>
    </row>
    <row r="95" spans="2:5" x14ac:dyDescent="0.25">
      <c r="B95" s="9" t="s">
        <v>399</v>
      </c>
      <c r="C95" s="24" t="s">
        <v>37</v>
      </c>
      <c r="D95" s="48">
        <f>D106</f>
        <v>7951</v>
      </c>
      <c r="E95" s="48">
        <f>E106</f>
        <v>9242</v>
      </c>
    </row>
    <row r="96" spans="2:5" x14ac:dyDescent="0.25">
      <c r="B96" s="9" t="s">
        <v>51</v>
      </c>
      <c r="C96" s="24" t="s">
        <v>37</v>
      </c>
      <c r="D96" s="47">
        <f>D93-D94-D95</f>
        <v>340.36000000000058</v>
      </c>
      <c r="E96" s="47">
        <f>E93-E94-E95</f>
        <v>325.23999999999796</v>
      </c>
    </row>
    <row r="97" spans="2:5" x14ac:dyDescent="0.25">
      <c r="B97" s="9"/>
      <c r="D97" s="31"/>
      <c r="E97" s="31"/>
    </row>
    <row r="98" spans="2:5" x14ac:dyDescent="0.25">
      <c r="B98" s="9" t="s">
        <v>416</v>
      </c>
      <c r="C98" s="24" t="s">
        <v>40</v>
      </c>
      <c r="D98" s="55">
        <f>D94/D93</f>
        <v>0.61182771535580527</v>
      </c>
      <c r="E98" s="55">
        <f>E94/E93</f>
        <v>0.65837386181039104</v>
      </c>
    </row>
    <row r="99" spans="2:5" x14ac:dyDescent="0.25">
      <c r="B99" s="9"/>
      <c r="D99" s="55"/>
      <c r="E99" s="55"/>
    </row>
    <row r="100" spans="2:5" x14ac:dyDescent="0.25">
      <c r="B100" s="9" t="s">
        <v>409</v>
      </c>
      <c r="C100" s="24" t="s">
        <v>37</v>
      </c>
      <c r="D100" s="31">
        <f>D7*(1-D65)</f>
        <v>13068.64</v>
      </c>
      <c r="E100" s="31">
        <f>E7*(1-E65)</f>
        <v>18437.760000000002</v>
      </c>
    </row>
    <row r="101" spans="2:5" x14ac:dyDescent="0.25">
      <c r="B101" s="9" t="s">
        <v>408</v>
      </c>
      <c r="C101" s="24" t="s">
        <v>37</v>
      </c>
      <c r="D101" s="47">
        <f t="shared" ref="D101:E101" si="8">SUM(D102:D102)</f>
        <v>2293.0172496</v>
      </c>
      <c r="E101" s="47">
        <f t="shared" si="8"/>
        <v>3957.7991188050005</v>
      </c>
    </row>
    <row r="102" spans="2:5" x14ac:dyDescent="0.25">
      <c r="B102" s="41" t="s">
        <v>337</v>
      </c>
      <c r="C102" s="24" t="s">
        <v>37</v>
      </c>
      <c r="D102" s="31">
        <f>D91*Assumptions!E53*D51*D52/100</f>
        <v>2293.0172496</v>
      </c>
      <c r="E102" s="31">
        <f>E91*Assumptions!F53*E51*E52/100</f>
        <v>3957.7991188050005</v>
      </c>
    </row>
    <row r="103" spans="2:5" x14ac:dyDescent="0.25">
      <c r="B103" s="9" t="s">
        <v>398</v>
      </c>
      <c r="C103" s="24" t="s">
        <v>37</v>
      </c>
      <c r="D103" s="153">
        <f>D100-D101</f>
        <v>10775.6227504</v>
      </c>
      <c r="E103" s="153">
        <f>E100-E101</f>
        <v>14479.960881195002</v>
      </c>
    </row>
    <row r="104" spans="2:5" x14ac:dyDescent="0.25">
      <c r="B104" s="9" t="s">
        <v>227</v>
      </c>
      <c r="C104" s="24" t="s">
        <v>40</v>
      </c>
      <c r="D104" s="32"/>
      <c r="E104" s="32">
        <f t="shared" ref="E104" si="9">E103/D103-1</f>
        <v>0.34377021324892754</v>
      </c>
    </row>
    <row r="105" spans="2:5" x14ac:dyDescent="0.25">
      <c r="B105" s="9"/>
      <c r="D105" s="32"/>
      <c r="E105" s="32"/>
    </row>
    <row r="106" spans="2:5" x14ac:dyDescent="0.25">
      <c r="B106" s="9" t="s">
        <v>399</v>
      </c>
      <c r="C106" s="24" t="s">
        <v>37</v>
      </c>
      <c r="D106" s="121">
        <f>D66</f>
        <v>7951</v>
      </c>
      <c r="E106" s="121">
        <f>E66</f>
        <v>9242</v>
      </c>
    </row>
    <row r="107" spans="2:5" x14ac:dyDescent="0.25">
      <c r="B107" s="9" t="s">
        <v>227</v>
      </c>
      <c r="C107" s="24" t="s">
        <v>40</v>
      </c>
      <c r="D107" s="32"/>
      <c r="E107" s="32">
        <f t="shared" ref="E107" si="10">E106/D106-1</f>
        <v>0.16236951326877125</v>
      </c>
    </row>
    <row r="108" spans="2:5" x14ac:dyDescent="0.25">
      <c r="B108" s="9" t="s">
        <v>399</v>
      </c>
      <c r="C108" s="29" t="s">
        <v>310</v>
      </c>
      <c r="D108" s="121">
        <f>D106/D51</f>
        <v>559.92957746478874</v>
      </c>
      <c r="E108" s="121">
        <f>E106/E51</f>
        <v>589.03760356915234</v>
      </c>
    </row>
    <row r="109" spans="2:5" x14ac:dyDescent="0.25">
      <c r="B109" s="9" t="s">
        <v>227</v>
      </c>
      <c r="C109" s="24" t="s">
        <v>40</v>
      </c>
      <c r="D109" s="32"/>
      <c r="E109" s="32">
        <f t="shared" ref="E109" si="11">E108/D108-1</f>
        <v>5.1985155412144879E-2</v>
      </c>
    </row>
    <row r="110" spans="2:5" x14ac:dyDescent="0.25">
      <c r="B110" s="9"/>
      <c r="D110" s="31"/>
      <c r="E110" s="31"/>
    </row>
    <row r="111" spans="2:5" x14ac:dyDescent="0.25">
      <c r="B111" s="1" t="s">
        <v>48</v>
      </c>
      <c r="C111" s="37" t="s">
        <v>228</v>
      </c>
    </row>
    <row r="112" spans="2:5" x14ac:dyDescent="0.25">
      <c r="B112" s="9" t="s">
        <v>49</v>
      </c>
      <c r="C112" s="171">
        <v>0.67500000000000004</v>
      </c>
    </row>
    <row r="113" spans="2:5" x14ac:dyDescent="0.25">
      <c r="B113" s="9" t="s">
        <v>50</v>
      </c>
      <c r="C113" s="171">
        <v>0.125</v>
      </c>
    </row>
    <row r="114" spans="2:5" x14ac:dyDescent="0.25">
      <c r="B114" s="9" t="s">
        <v>51</v>
      </c>
      <c r="C114" s="171">
        <v>0.2</v>
      </c>
    </row>
    <row r="115" spans="2:5" x14ac:dyDescent="0.25">
      <c r="B115" s="1" t="s">
        <v>53</v>
      </c>
      <c r="C115" s="44">
        <f>SUM(C112:C114)</f>
        <v>1</v>
      </c>
    </row>
    <row r="117" spans="2:5" x14ac:dyDescent="0.25">
      <c r="B117" s="1" t="s">
        <v>199</v>
      </c>
      <c r="C117" s="24" t="s">
        <v>40</v>
      </c>
      <c r="D117" s="32"/>
      <c r="E117" s="32">
        <f>E46/D46-1</f>
        <v>-5.6882821387941318E-3</v>
      </c>
    </row>
    <row r="118" spans="2:5" x14ac:dyDescent="0.25">
      <c r="D118" s="32"/>
      <c r="E118" s="32"/>
    </row>
    <row r="119" spans="2:5" x14ac:dyDescent="0.25">
      <c r="B119" s="9" t="s">
        <v>55</v>
      </c>
      <c r="C119" s="24" t="s">
        <v>40</v>
      </c>
      <c r="D119" s="32">
        <f>D33/D7</f>
        <v>0.47768857356236</v>
      </c>
      <c r="E119" s="32">
        <f>E33/E7</f>
        <v>2.8569544239647331</v>
      </c>
    </row>
    <row r="120" spans="2:5" x14ac:dyDescent="0.25">
      <c r="B120" s="9"/>
    </row>
    <row r="121" spans="2:5" x14ac:dyDescent="0.25">
      <c r="B121" s="9" t="s">
        <v>56</v>
      </c>
      <c r="C121" s="24" t="s">
        <v>40</v>
      </c>
      <c r="D121" s="32">
        <f>D36/D7</f>
        <v>0.55101755041075429</v>
      </c>
      <c r="E121" s="32">
        <f>E36/E7</f>
        <v>0.34766913117428583</v>
      </c>
    </row>
    <row r="123" spans="2:5" x14ac:dyDescent="0.25">
      <c r="B123" s="9" t="s">
        <v>52</v>
      </c>
      <c r="C123" s="24" t="s">
        <v>40</v>
      </c>
      <c r="D123" s="32">
        <f>D40/D7</f>
        <v>1.4873973114264376</v>
      </c>
      <c r="E123" s="32">
        <f>E40/E7</f>
        <v>0.5433718629594918</v>
      </c>
    </row>
    <row r="125" spans="2:5" x14ac:dyDescent="0.25">
      <c r="B125" s="9" t="s">
        <v>187</v>
      </c>
    </row>
    <row r="126" spans="2:5" x14ac:dyDescent="0.25">
      <c r="B126" s="9" t="s">
        <v>190</v>
      </c>
      <c r="C126" s="24" t="s">
        <v>40</v>
      </c>
      <c r="D126" s="32">
        <f t="shared" ref="D126:E126" si="12">D130/D133</f>
        <v>-6.4472350446440882E-2</v>
      </c>
      <c r="E126" s="32">
        <f t="shared" si="12"/>
        <v>-0.33611359165169785</v>
      </c>
    </row>
    <row r="127" spans="2:5" x14ac:dyDescent="0.25">
      <c r="B127" s="9"/>
    </row>
    <row r="128" spans="2:5" x14ac:dyDescent="0.25">
      <c r="B128" s="1" t="s">
        <v>191</v>
      </c>
      <c r="C128" s="24" t="s">
        <v>37</v>
      </c>
      <c r="D128" s="31">
        <f>D18</f>
        <v>-15382</v>
      </c>
      <c r="E128" s="31">
        <f>E18</f>
        <v>-77556</v>
      </c>
    </row>
    <row r="129" spans="2:5" x14ac:dyDescent="0.25">
      <c r="B129" s="1" t="s">
        <v>177</v>
      </c>
      <c r="C129" s="24" t="s">
        <v>40</v>
      </c>
      <c r="D129" s="38">
        <f>D68</f>
        <v>0.24</v>
      </c>
      <c r="E129" s="38">
        <f>E68</f>
        <v>0.24</v>
      </c>
    </row>
    <row r="130" spans="2:5" x14ac:dyDescent="0.25">
      <c r="B130" s="1" t="s">
        <v>186</v>
      </c>
      <c r="C130" s="24" t="s">
        <v>37</v>
      </c>
      <c r="D130" s="31">
        <f t="shared" ref="D130:E130" si="13">D128*(1-D129)</f>
        <v>-11690.32</v>
      </c>
      <c r="E130" s="31">
        <f t="shared" si="13"/>
        <v>-58942.559999999998</v>
      </c>
    </row>
    <row r="131" spans="2:5" x14ac:dyDescent="0.25">
      <c r="D131" s="31"/>
      <c r="E131" s="31"/>
    </row>
    <row r="132" spans="2:5" x14ac:dyDescent="0.25">
      <c r="B132" s="1" t="s">
        <v>188</v>
      </c>
      <c r="C132" s="24" t="s">
        <v>37</v>
      </c>
      <c r="D132" s="31">
        <f>D34-D37</f>
        <v>181323</v>
      </c>
      <c r="E132" s="31">
        <f>E34-E37</f>
        <v>169407</v>
      </c>
    </row>
    <row r="133" spans="2:5" x14ac:dyDescent="0.25">
      <c r="B133" s="1" t="s">
        <v>189</v>
      </c>
      <c r="C133" s="24" t="s">
        <v>37</v>
      </c>
      <c r="D133" s="31">
        <f>AVERAGE(D132:D132)</f>
        <v>181323</v>
      </c>
      <c r="E133" s="31">
        <f t="shared" ref="E133" si="14">AVERAGE(D132:E132)</f>
        <v>175365</v>
      </c>
    </row>
  </sheetData>
  <pageMargins left="0.7" right="0.7" top="0.75" bottom="0.75" header="0.3" footer="0.3"/>
  <pageSetup paperSize="9" scale="26"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B1:E127"/>
  <sheetViews>
    <sheetView view="pageBreakPreview" zoomScale="80" zoomScaleNormal="80" zoomScaleSheetLayoutView="80" workbookViewId="0">
      <pane xSplit="3" ySplit="4" topLeftCell="D55" activePane="bottomRight" state="frozen"/>
      <selection activeCell="B31" sqref="B31"/>
      <selection pane="topRight" activeCell="B31" sqref="B31"/>
      <selection pane="bottomLeft" activeCell="B31" sqref="B31"/>
      <selection pane="bottomRight" activeCell="D65" sqref="D65"/>
    </sheetView>
  </sheetViews>
  <sheetFormatPr defaultColWidth="9.21875" defaultRowHeight="13.2"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332</v>
      </c>
      <c r="C4" s="23" t="s">
        <v>2</v>
      </c>
      <c r="D4" s="5" t="s">
        <v>234</v>
      </c>
      <c r="E4" s="5" t="s">
        <v>235</v>
      </c>
    </row>
    <row r="5" spans="2:5" x14ac:dyDescent="0.25">
      <c r="D5" s="12"/>
      <c r="E5" s="12"/>
    </row>
    <row r="6" spans="2:5" x14ac:dyDescent="0.25">
      <c r="B6" s="39" t="s">
        <v>4</v>
      </c>
      <c r="D6" s="12"/>
      <c r="E6" s="12"/>
    </row>
    <row r="7" spans="2:5" s="2" customFormat="1" x14ac:dyDescent="0.25">
      <c r="B7" s="2" t="s">
        <v>5</v>
      </c>
      <c r="C7" s="141" t="s">
        <v>37</v>
      </c>
      <c r="D7" s="18">
        <f t="shared" ref="D7:E7" si="0">SUM(D8:D9)</f>
        <v>41423</v>
      </c>
      <c r="E7" s="18">
        <f t="shared" si="0"/>
        <v>39989</v>
      </c>
    </row>
    <row r="8" spans="2:5" x14ac:dyDescent="0.25">
      <c r="B8" s="13" t="s">
        <v>7</v>
      </c>
      <c r="C8" s="26" t="s">
        <v>37</v>
      </c>
      <c r="D8" s="75">
        <v>40967</v>
      </c>
      <c r="E8" s="75">
        <v>39537</v>
      </c>
    </row>
    <row r="9" spans="2:5" x14ac:dyDescent="0.25">
      <c r="B9" s="15" t="s">
        <v>11</v>
      </c>
      <c r="C9" s="27" t="s">
        <v>37</v>
      </c>
      <c r="D9" s="53">
        <v>456</v>
      </c>
      <c r="E9" s="53">
        <v>452</v>
      </c>
    </row>
    <row r="10" spans="2:5" x14ac:dyDescent="0.25">
      <c r="B10" s="9"/>
      <c r="D10" s="12"/>
      <c r="E10" s="12"/>
    </row>
    <row r="11" spans="2:5" x14ac:dyDescent="0.25">
      <c r="B11" s="1" t="s">
        <v>214</v>
      </c>
      <c r="C11" s="24" t="s">
        <v>37</v>
      </c>
      <c r="D11" s="52">
        <f>3100-D17-D12-D14</f>
        <v>2872</v>
      </c>
      <c r="E11" s="52">
        <f>-894-E12-E14-E17</f>
        <v>1398</v>
      </c>
    </row>
    <row r="12" spans="2:5" x14ac:dyDescent="0.25">
      <c r="B12" s="16" t="s">
        <v>8</v>
      </c>
      <c r="C12" s="27" t="s">
        <v>37</v>
      </c>
      <c r="D12" s="53">
        <v>-23</v>
      </c>
      <c r="E12" s="53">
        <v>95</v>
      </c>
    </row>
    <row r="13" spans="2:5" s="94" customFormat="1" x14ac:dyDescent="0.25">
      <c r="B13" s="94" t="s">
        <v>215</v>
      </c>
      <c r="C13" s="95" t="s">
        <v>37</v>
      </c>
      <c r="D13" s="96">
        <f t="shared" ref="D13:E13" si="1">SUM(D11:D12)</f>
        <v>2849</v>
      </c>
      <c r="E13" s="96">
        <f t="shared" si="1"/>
        <v>1493</v>
      </c>
    </row>
    <row r="14" spans="2:5" s="97" customFormat="1" x14ac:dyDescent="0.25">
      <c r="B14" s="97" t="s">
        <v>216</v>
      </c>
      <c r="C14" s="24" t="s">
        <v>37</v>
      </c>
      <c r="D14" s="100">
        <v>147</v>
      </c>
      <c r="E14" s="100"/>
    </row>
    <row r="15" spans="2:5" s="97" customFormat="1" x14ac:dyDescent="0.25">
      <c r="B15" s="99" t="s">
        <v>217</v>
      </c>
      <c r="C15" s="27" t="s">
        <v>37</v>
      </c>
      <c r="D15" s="101"/>
      <c r="E15" s="101"/>
    </row>
    <row r="16" spans="2:5" s="97" customFormat="1" x14ac:dyDescent="0.25">
      <c r="B16" s="97" t="s">
        <v>218</v>
      </c>
      <c r="C16" s="24" t="s">
        <v>37</v>
      </c>
      <c r="D16" s="98">
        <f t="shared" ref="D16:E16" si="2">SUM(D13:D15)</f>
        <v>2996</v>
      </c>
      <c r="E16" s="98">
        <f t="shared" si="2"/>
        <v>1493</v>
      </c>
    </row>
    <row r="17" spans="2:5" x14ac:dyDescent="0.25">
      <c r="B17" s="16" t="s">
        <v>9</v>
      </c>
      <c r="C17" s="27" t="s">
        <v>37</v>
      </c>
      <c r="D17" s="53">
        <v>104</v>
      </c>
      <c r="E17" s="53">
        <v>-2387</v>
      </c>
    </row>
    <row r="18" spans="2:5" s="2" customFormat="1" x14ac:dyDescent="0.25">
      <c r="B18" s="2" t="s">
        <v>392</v>
      </c>
      <c r="C18" s="141" t="s">
        <v>37</v>
      </c>
      <c r="D18" s="18">
        <f t="shared" ref="D18:E18" si="3">SUM(D16:D17)</f>
        <v>3100</v>
      </c>
      <c r="E18" s="18">
        <f t="shared" si="3"/>
        <v>-894</v>
      </c>
    </row>
    <row r="19" spans="2:5" x14ac:dyDescent="0.25">
      <c r="B19" s="1" t="s">
        <v>108</v>
      </c>
      <c r="C19" s="24" t="s">
        <v>37</v>
      </c>
      <c r="D19" s="52">
        <v>1171</v>
      </c>
      <c r="E19" s="52">
        <v>1380</v>
      </c>
    </row>
    <row r="20" spans="2:5" x14ac:dyDescent="0.25">
      <c r="B20" s="1" t="s">
        <v>239</v>
      </c>
      <c r="C20" s="24" t="s">
        <v>37</v>
      </c>
      <c r="D20" s="52">
        <v>74</v>
      </c>
      <c r="E20" s="52">
        <v>441</v>
      </c>
    </row>
    <row r="21" spans="2:5" x14ac:dyDescent="0.25">
      <c r="B21" s="1" t="s">
        <v>9</v>
      </c>
      <c r="C21" s="24" t="s">
        <v>37</v>
      </c>
      <c r="D21" s="52">
        <f t="shared" ref="D21:E21" si="4">-D17</f>
        <v>-104</v>
      </c>
      <c r="E21" s="52">
        <f t="shared" si="4"/>
        <v>2387</v>
      </c>
    </row>
    <row r="22" spans="2:5" x14ac:dyDescent="0.25">
      <c r="B22" s="1" t="s">
        <v>238</v>
      </c>
      <c r="C22" s="24" t="s">
        <v>37</v>
      </c>
      <c r="D22" s="52">
        <v>54</v>
      </c>
      <c r="E22" s="52">
        <v>83</v>
      </c>
    </row>
    <row r="23" spans="2:5" x14ac:dyDescent="0.25">
      <c r="B23" s="1" t="s">
        <v>376</v>
      </c>
      <c r="C23" s="24" t="s">
        <v>37</v>
      </c>
      <c r="D23" s="52">
        <f>7+5</f>
        <v>12</v>
      </c>
      <c r="E23" s="52">
        <f>11-18</f>
        <v>-7</v>
      </c>
    </row>
    <row r="24" spans="2:5" x14ac:dyDescent="0.25">
      <c r="B24" s="1" t="s">
        <v>243</v>
      </c>
      <c r="C24" s="29" t="s">
        <v>37</v>
      </c>
      <c r="D24" s="52">
        <v>14</v>
      </c>
      <c r="E24" s="52">
        <v>7</v>
      </c>
    </row>
    <row r="25" spans="2:5" s="2" customFormat="1" ht="13.8" thickBot="1" x14ac:dyDescent="0.3">
      <c r="B25" s="19" t="s">
        <v>244</v>
      </c>
      <c r="C25" s="28" t="s">
        <v>37</v>
      </c>
      <c r="D25" s="20">
        <f>SUM(D18:D24)</f>
        <v>4321</v>
      </c>
      <c r="E25" s="20">
        <f>SUM(E18:E24)</f>
        <v>3397</v>
      </c>
    </row>
    <row r="26" spans="2:5" x14ac:dyDescent="0.25">
      <c r="D26" s="12"/>
      <c r="E26" s="12"/>
    </row>
    <row r="27" spans="2:5" x14ac:dyDescent="0.25">
      <c r="B27" s="39" t="s">
        <v>21</v>
      </c>
      <c r="D27" s="12"/>
      <c r="E27" s="12"/>
    </row>
    <row r="28" spans="2:5" x14ac:dyDescent="0.25">
      <c r="B28" s="1" t="s">
        <v>12</v>
      </c>
      <c r="C28" s="24" t="s">
        <v>37</v>
      </c>
      <c r="D28" s="159">
        <v>11236</v>
      </c>
      <c r="E28" s="159">
        <v>11686</v>
      </c>
    </row>
    <row r="29" spans="2:5" x14ac:dyDescent="0.25">
      <c r="B29" s="1" t="s">
        <v>368</v>
      </c>
      <c r="C29" s="24" t="s">
        <v>37</v>
      </c>
      <c r="D29" s="159">
        <v>0</v>
      </c>
      <c r="E29" s="159">
        <v>1646</v>
      </c>
    </row>
    <row r="30" spans="2:5" x14ac:dyDescent="0.25">
      <c r="B30" s="1" t="s">
        <v>13</v>
      </c>
      <c r="C30" s="24" t="s">
        <v>37</v>
      </c>
      <c r="D30" s="159">
        <v>1702</v>
      </c>
      <c r="E30" s="159">
        <v>2253</v>
      </c>
    </row>
    <row r="31" spans="2:5" x14ac:dyDescent="0.25">
      <c r="B31" s="1" t="s">
        <v>219</v>
      </c>
      <c r="C31" s="24" t="s">
        <v>37</v>
      </c>
      <c r="D31" s="159">
        <v>1292</v>
      </c>
      <c r="E31" s="159">
        <v>1265</v>
      </c>
    </row>
    <row r="32" spans="2:5" x14ac:dyDescent="0.25">
      <c r="B32" s="1" t="s">
        <v>14</v>
      </c>
      <c r="C32" s="24" t="s">
        <v>37</v>
      </c>
      <c r="D32" s="159">
        <v>1789</v>
      </c>
      <c r="E32" s="159">
        <v>1659</v>
      </c>
    </row>
    <row r="33" spans="2:5" x14ac:dyDescent="0.25">
      <c r="B33" s="1" t="s">
        <v>15</v>
      </c>
      <c r="C33" s="24" t="s">
        <v>37</v>
      </c>
      <c r="D33" s="159">
        <v>15136</v>
      </c>
      <c r="E33" s="159">
        <v>15552</v>
      </c>
    </row>
    <row r="34" spans="2:5" ht="13.8" thickBot="1" x14ac:dyDescent="0.3">
      <c r="B34" s="19" t="s">
        <v>16</v>
      </c>
      <c r="C34" s="28" t="s">
        <v>37</v>
      </c>
      <c r="D34" s="20">
        <f t="shared" ref="D34:E34" si="5">SUM(D28:D33)</f>
        <v>31155</v>
      </c>
      <c r="E34" s="20">
        <f t="shared" si="5"/>
        <v>34061</v>
      </c>
    </row>
    <row r="35" spans="2:5" x14ac:dyDescent="0.25">
      <c r="B35" s="1" t="s">
        <v>17</v>
      </c>
      <c r="C35" s="24" t="s">
        <v>37</v>
      </c>
      <c r="D35" s="159">
        <v>10594</v>
      </c>
      <c r="E35" s="159">
        <v>15527</v>
      </c>
    </row>
    <row r="36" spans="2:5" x14ac:dyDescent="0.25">
      <c r="B36" s="1" t="s">
        <v>18</v>
      </c>
      <c r="C36" s="24" t="s">
        <v>37</v>
      </c>
      <c r="D36" s="159">
        <v>6752</v>
      </c>
      <c r="E36" s="159">
        <v>7458</v>
      </c>
    </row>
    <row r="37" spans="2:5" ht="13.8" thickBot="1" x14ac:dyDescent="0.3">
      <c r="B37" s="19" t="s">
        <v>19</v>
      </c>
      <c r="C37" s="28" t="s">
        <v>37</v>
      </c>
      <c r="D37" s="20">
        <f t="shared" ref="D37:E37" si="6">SUM(D35:D36)</f>
        <v>17346</v>
      </c>
      <c r="E37" s="20">
        <f t="shared" si="6"/>
        <v>22985</v>
      </c>
    </row>
    <row r="38" spans="2:5" x14ac:dyDescent="0.25">
      <c r="D38" s="12"/>
      <c r="E38" s="12"/>
    </row>
    <row r="39" spans="2:5" x14ac:dyDescent="0.25">
      <c r="B39" s="39" t="s">
        <v>20</v>
      </c>
      <c r="D39" s="12"/>
      <c r="E39" s="12"/>
    </row>
    <row r="40" spans="2:5" x14ac:dyDescent="0.25">
      <c r="B40" s="16" t="s">
        <v>223</v>
      </c>
      <c r="C40" s="27" t="s">
        <v>37</v>
      </c>
      <c r="D40" s="122">
        <v>2841</v>
      </c>
      <c r="E40" s="122">
        <v>2158</v>
      </c>
    </row>
    <row r="41" spans="2:5" x14ac:dyDescent="0.25">
      <c r="D41" s="12"/>
      <c r="E41" s="12"/>
    </row>
    <row r="42" spans="2:5" x14ac:dyDescent="0.25">
      <c r="B42" s="2" t="s">
        <v>22</v>
      </c>
      <c r="D42" s="12"/>
      <c r="E42" s="12"/>
    </row>
    <row r="43" spans="2:5" x14ac:dyDescent="0.25">
      <c r="B43" s="1" t="s">
        <v>220</v>
      </c>
      <c r="C43" s="24" t="s">
        <v>37</v>
      </c>
      <c r="D43" s="52">
        <v>2790</v>
      </c>
      <c r="E43" s="52">
        <v>1955</v>
      </c>
    </row>
    <row r="44" spans="2:5" x14ac:dyDescent="0.25">
      <c r="B44" s="1" t="s">
        <v>221</v>
      </c>
      <c r="C44" s="24" t="s">
        <v>37</v>
      </c>
      <c r="D44" s="52">
        <v>0</v>
      </c>
      <c r="E44" s="52">
        <v>0</v>
      </c>
    </row>
    <row r="45" spans="2:5" x14ac:dyDescent="0.25">
      <c r="D45" s="12"/>
      <c r="E45" s="12"/>
    </row>
    <row r="46" spans="2:5" x14ac:dyDescent="0.25">
      <c r="B46" s="16" t="s">
        <v>23</v>
      </c>
      <c r="C46" s="27" t="s">
        <v>198</v>
      </c>
      <c r="D46" s="122">
        <v>3151</v>
      </c>
      <c r="E46" s="122">
        <v>3187</v>
      </c>
    </row>
    <row r="47" spans="2:5" x14ac:dyDescent="0.25">
      <c r="D47" s="12"/>
      <c r="E47" s="12"/>
    </row>
    <row r="48" spans="2:5" x14ac:dyDescent="0.25">
      <c r="B48" s="39" t="s">
        <v>54</v>
      </c>
      <c r="D48" s="12"/>
      <c r="E48" s="12"/>
    </row>
    <row r="49" spans="2:5" x14ac:dyDescent="0.25">
      <c r="D49" s="12"/>
      <c r="E49" s="12"/>
    </row>
    <row r="50" spans="2:5" x14ac:dyDescent="0.25">
      <c r="B50" s="2" t="s">
        <v>1</v>
      </c>
      <c r="D50" s="12"/>
      <c r="E50" s="12"/>
    </row>
    <row r="51" spans="2:5" x14ac:dyDescent="0.25">
      <c r="B51" s="1" t="str">
        <f>Assumptions!B7</f>
        <v>R/US$ exchange rate - avg</v>
      </c>
      <c r="C51" s="24" t="str">
        <f>Assumptions!C7</f>
        <v>R:1US$</v>
      </c>
      <c r="D51" s="35">
        <f>Assumptions!E7</f>
        <v>14.2</v>
      </c>
      <c r="E51" s="35">
        <f>Assumptions!F7</f>
        <v>15.69</v>
      </c>
    </row>
    <row r="52" spans="2:5" x14ac:dyDescent="0.25">
      <c r="B52" s="1" t="str">
        <f>Assumptions!B12</f>
        <v>R/EUR exchange rate - avg</v>
      </c>
      <c r="C52" s="24" t="str">
        <f>Assumptions!C12</f>
        <v>R:1EUR</v>
      </c>
      <c r="D52" s="35">
        <f>Assumptions!E12</f>
        <v>16.190000000000001</v>
      </c>
      <c r="E52" s="35">
        <f>Assumptions!F12</f>
        <v>17.34</v>
      </c>
    </row>
    <row r="53" spans="2:5" x14ac:dyDescent="0.25">
      <c r="D53" s="10"/>
      <c r="E53" s="10"/>
    </row>
    <row r="54" spans="2:5" s="2" customFormat="1" x14ac:dyDescent="0.25">
      <c r="B54" s="2" t="s">
        <v>305</v>
      </c>
      <c r="C54" s="141"/>
      <c r="D54" s="45"/>
      <c r="E54" s="45"/>
    </row>
    <row r="55" spans="2:5" x14ac:dyDescent="0.25">
      <c r="B55" s="43" t="s">
        <v>58</v>
      </c>
    </row>
    <row r="56" spans="2:5" x14ac:dyDescent="0.25">
      <c r="B56" s="9" t="s">
        <v>261</v>
      </c>
      <c r="C56" s="29" t="s">
        <v>141</v>
      </c>
      <c r="D56" s="92">
        <v>44</v>
      </c>
      <c r="E56" s="92">
        <v>37</v>
      </c>
    </row>
    <row r="57" spans="2:5" x14ac:dyDescent="0.25">
      <c r="B57" s="9" t="s">
        <v>306</v>
      </c>
      <c r="C57" s="29" t="s">
        <v>141</v>
      </c>
      <c r="D57" s="92">
        <v>0</v>
      </c>
      <c r="E57" s="92">
        <v>0</v>
      </c>
    </row>
    <row r="58" spans="2:5" x14ac:dyDescent="0.25">
      <c r="B58" s="9" t="s">
        <v>307</v>
      </c>
      <c r="C58" s="29" t="s">
        <v>141</v>
      </c>
      <c r="D58" s="92">
        <v>1138</v>
      </c>
      <c r="E58" s="92">
        <v>1110</v>
      </c>
    </row>
    <row r="59" spans="2:5" x14ac:dyDescent="0.25">
      <c r="B59" s="9" t="s">
        <v>308</v>
      </c>
      <c r="C59" s="29" t="s">
        <v>141</v>
      </c>
      <c r="D59" s="92">
        <v>389</v>
      </c>
      <c r="E59" s="92">
        <v>356</v>
      </c>
    </row>
    <row r="60" spans="2:5" x14ac:dyDescent="0.25">
      <c r="B60" s="1" t="s">
        <v>170</v>
      </c>
      <c r="C60" s="29" t="s">
        <v>141</v>
      </c>
      <c r="D60" s="12">
        <f>SUM(D56:D59)</f>
        <v>1571</v>
      </c>
      <c r="E60" s="12">
        <f>SUM(E56:E59)</f>
        <v>1503</v>
      </c>
    </row>
    <row r="61" spans="2:5" x14ac:dyDescent="0.25">
      <c r="D61" s="12"/>
      <c r="E61" s="12"/>
    </row>
    <row r="62" spans="2:5" x14ac:dyDescent="0.25">
      <c r="B62" s="1" t="s">
        <v>309</v>
      </c>
      <c r="C62" s="29" t="s">
        <v>310</v>
      </c>
      <c r="D62" s="92">
        <f>D8/D51</f>
        <v>2885</v>
      </c>
      <c r="E62" s="92">
        <f>E8/E51</f>
        <v>2519.8852772466539</v>
      </c>
    </row>
    <row r="63" spans="2:5" x14ac:dyDescent="0.25">
      <c r="B63" s="1" t="s">
        <v>333</v>
      </c>
      <c r="C63" s="29" t="s">
        <v>33</v>
      </c>
      <c r="D63" s="12">
        <f>D62/D60*1000</f>
        <v>1836.4099299809038</v>
      </c>
      <c r="E63" s="12">
        <f>E62/E60*1000</f>
        <v>1676.5703774096169</v>
      </c>
    </row>
    <row r="64" spans="2:5" x14ac:dyDescent="0.25">
      <c r="D64" s="12"/>
      <c r="E64" s="12"/>
    </row>
    <row r="65" spans="2:5" x14ac:dyDescent="0.25">
      <c r="B65" s="2" t="s">
        <v>396</v>
      </c>
      <c r="C65" s="24" t="s">
        <v>40</v>
      </c>
      <c r="D65" s="165">
        <v>0.27</v>
      </c>
      <c r="E65" s="165">
        <v>0.26</v>
      </c>
    </row>
    <row r="66" spans="2:5" x14ac:dyDescent="0.25">
      <c r="B66" s="2" t="s">
        <v>400</v>
      </c>
      <c r="C66" s="24" t="s">
        <v>37</v>
      </c>
      <c r="D66" s="166">
        <v>7617</v>
      </c>
      <c r="E66" s="166">
        <v>7677</v>
      </c>
    </row>
    <row r="67" spans="2:5" x14ac:dyDescent="0.25">
      <c r="B67" s="2"/>
      <c r="D67" s="167"/>
      <c r="E67" s="167"/>
    </row>
    <row r="68" spans="2:5" x14ac:dyDescent="0.25">
      <c r="B68" s="2" t="s">
        <v>177</v>
      </c>
      <c r="C68" s="24" t="s">
        <v>40</v>
      </c>
      <c r="D68" s="165">
        <v>0.34</v>
      </c>
      <c r="E68" s="165">
        <v>-0.03</v>
      </c>
    </row>
    <row r="69" spans="2:5" x14ac:dyDescent="0.25">
      <c r="D69" s="12"/>
      <c r="E69" s="12"/>
    </row>
    <row r="70" spans="2:5" x14ac:dyDescent="0.25">
      <c r="B70" s="39" t="s">
        <v>38</v>
      </c>
      <c r="D70" s="12"/>
      <c r="E70" s="12"/>
    </row>
    <row r="71" spans="2:5" s="42" customFormat="1" x14ac:dyDescent="0.25">
      <c r="B71" s="2" t="s">
        <v>330</v>
      </c>
      <c r="C71" s="29"/>
      <c r="D71" s="12"/>
      <c r="E71" s="12"/>
    </row>
    <row r="72" spans="2:5" s="42" customFormat="1" x14ac:dyDescent="0.25">
      <c r="B72" s="9" t="s">
        <v>261</v>
      </c>
      <c r="C72" s="29" t="s">
        <v>33</v>
      </c>
      <c r="D72" s="12">
        <f>Chem!D38</f>
        <v>2943.1818181818185</v>
      </c>
      <c r="E72" s="12">
        <f>Chem!E38</f>
        <v>2405.7427362776248</v>
      </c>
    </row>
    <row r="73" spans="2:5" s="42" customFormat="1" x14ac:dyDescent="0.25">
      <c r="B73" s="9" t="s">
        <v>306</v>
      </c>
      <c r="C73" s="29" t="s">
        <v>33</v>
      </c>
      <c r="D73" s="12">
        <f>Chem!D39</f>
        <v>829.19463087248323</v>
      </c>
      <c r="E73" s="12">
        <f>Chem!E39</f>
        <v>651.59874766336316</v>
      </c>
    </row>
    <row r="74" spans="2:5" s="42" customFormat="1" x14ac:dyDescent="0.25">
      <c r="B74" s="9" t="s">
        <v>307</v>
      </c>
      <c r="C74" s="29" t="s">
        <v>33</v>
      </c>
      <c r="D74" s="12">
        <f>Chem!D40</f>
        <v>1903.2467532467531</v>
      </c>
      <c r="E74" s="12">
        <f>Chem!E40</f>
        <v>1700.853690295429</v>
      </c>
    </row>
    <row r="75" spans="2:5" s="42" customFormat="1" x14ac:dyDescent="0.25">
      <c r="B75" s="9" t="s">
        <v>308</v>
      </c>
      <c r="C75" s="29" t="s">
        <v>33</v>
      </c>
      <c r="D75" s="12">
        <f>Chem!D41</f>
        <v>1209.5612137010078</v>
      </c>
      <c r="E75" s="12">
        <f>Chem!E41</f>
        <v>1127.3387233240142</v>
      </c>
    </row>
    <row r="76" spans="2:5" s="42" customFormat="1" x14ac:dyDescent="0.25">
      <c r="B76" s="9"/>
      <c r="C76" s="29"/>
      <c r="D76" s="30"/>
      <c r="E76" s="30"/>
    </row>
    <row r="77" spans="2:5" s="42" customFormat="1" x14ac:dyDescent="0.25">
      <c r="B77" s="9" t="s">
        <v>331</v>
      </c>
      <c r="C77" s="29"/>
      <c r="D77" s="30"/>
      <c r="E77" s="30"/>
    </row>
    <row r="78" spans="2:5" s="42" customFormat="1" x14ac:dyDescent="0.25">
      <c r="B78" s="9" t="s">
        <v>261</v>
      </c>
      <c r="C78" s="29" t="s">
        <v>310</v>
      </c>
      <c r="D78" s="30">
        <f t="shared" ref="D78:E81" si="7">D56*D72/1000</f>
        <v>129.50000000000003</v>
      </c>
      <c r="E78" s="30">
        <f t="shared" si="7"/>
        <v>89.012481242272116</v>
      </c>
    </row>
    <row r="79" spans="2:5" s="42" customFormat="1" x14ac:dyDescent="0.25">
      <c r="B79" s="9" t="s">
        <v>306</v>
      </c>
      <c r="C79" s="29" t="s">
        <v>310</v>
      </c>
      <c r="D79" s="30">
        <f t="shared" si="7"/>
        <v>0</v>
      </c>
      <c r="E79" s="30">
        <f t="shared" si="7"/>
        <v>0</v>
      </c>
    </row>
    <row r="80" spans="2:5" s="42" customFormat="1" x14ac:dyDescent="0.25">
      <c r="B80" s="9" t="s">
        <v>307</v>
      </c>
      <c r="C80" s="29" t="s">
        <v>310</v>
      </c>
      <c r="D80" s="30">
        <f t="shared" si="7"/>
        <v>2165.894805194805</v>
      </c>
      <c r="E80" s="30">
        <f t="shared" si="7"/>
        <v>1887.9475962279262</v>
      </c>
    </row>
    <row r="81" spans="2:5" s="42" customFormat="1" x14ac:dyDescent="0.25">
      <c r="B81" s="9" t="s">
        <v>308</v>
      </c>
      <c r="C81" s="29" t="s">
        <v>310</v>
      </c>
      <c r="D81" s="17">
        <f t="shared" si="7"/>
        <v>470.51931212969203</v>
      </c>
      <c r="E81" s="17">
        <f t="shared" si="7"/>
        <v>401.33258550334904</v>
      </c>
    </row>
    <row r="82" spans="2:5" s="42" customFormat="1" x14ac:dyDescent="0.25">
      <c r="B82" s="41" t="s">
        <v>249</v>
      </c>
      <c r="C82" s="29" t="s">
        <v>310</v>
      </c>
      <c r="D82" s="30">
        <f>SUM(D78:D81)</f>
        <v>2765.9141173244971</v>
      </c>
      <c r="E82" s="30">
        <f>SUM(E78:E81)</f>
        <v>2378.2926629735475</v>
      </c>
    </row>
    <row r="83" spans="2:5" s="42" customFormat="1" x14ac:dyDescent="0.25">
      <c r="B83" s="41"/>
      <c r="C83" s="29"/>
      <c r="D83" s="30"/>
      <c r="E83" s="30"/>
    </row>
    <row r="84" spans="2:5" x14ac:dyDescent="0.25">
      <c r="B84" s="41" t="s">
        <v>249</v>
      </c>
      <c r="C84" s="29" t="s">
        <v>37</v>
      </c>
      <c r="D84" s="121">
        <f>D82*D51</f>
        <v>39275.980466007859</v>
      </c>
      <c r="E84" s="121">
        <f>E82*E51</f>
        <v>37315.411882054963</v>
      </c>
    </row>
    <row r="85" spans="2:5" x14ac:dyDescent="0.25">
      <c r="B85" s="41" t="s">
        <v>250</v>
      </c>
      <c r="C85" s="29" t="s">
        <v>37</v>
      </c>
      <c r="D85" s="31">
        <f>D8</f>
        <v>40967</v>
      </c>
      <c r="E85" s="31">
        <f>E8</f>
        <v>39537</v>
      </c>
    </row>
    <row r="86" spans="2:5" x14ac:dyDescent="0.25">
      <c r="B86" s="9" t="s">
        <v>42</v>
      </c>
      <c r="C86" s="117" t="s">
        <v>40</v>
      </c>
      <c r="D86" s="49">
        <f>D85/D84-1</f>
        <v>4.3054801278752608E-2</v>
      </c>
      <c r="E86" s="49">
        <f>E85/E84-1</f>
        <v>5.9535403896034733E-2</v>
      </c>
    </row>
    <row r="88" spans="2:5" x14ac:dyDescent="0.25">
      <c r="B88" s="9" t="s">
        <v>106</v>
      </c>
      <c r="C88" s="24" t="s">
        <v>40</v>
      </c>
      <c r="D88" s="49">
        <f>D9/D8</f>
        <v>1.1130910244831206E-2</v>
      </c>
      <c r="E88" s="49">
        <f>E9/E8</f>
        <v>1.1432329210612843E-2</v>
      </c>
    </row>
    <row r="90" spans="2:5" x14ac:dyDescent="0.25">
      <c r="B90" s="9" t="s">
        <v>74</v>
      </c>
      <c r="C90" s="24" t="s">
        <v>37</v>
      </c>
      <c r="D90" s="31">
        <f>D7-D25</f>
        <v>37102</v>
      </c>
      <c r="E90" s="31">
        <f>E7-E25</f>
        <v>36592</v>
      </c>
    </row>
    <row r="91" spans="2:5" x14ac:dyDescent="0.25">
      <c r="B91" s="9" t="s">
        <v>409</v>
      </c>
      <c r="C91" s="24" t="s">
        <v>37</v>
      </c>
      <c r="D91" s="153">
        <f>D97</f>
        <v>30238.79</v>
      </c>
      <c r="E91" s="153">
        <f>E97</f>
        <v>29591.86</v>
      </c>
    </row>
    <row r="92" spans="2:5" x14ac:dyDescent="0.25">
      <c r="B92" s="9" t="s">
        <v>399</v>
      </c>
      <c r="C92" s="24" t="s">
        <v>37</v>
      </c>
      <c r="D92" s="48">
        <f>D100</f>
        <v>7617</v>
      </c>
      <c r="E92" s="48">
        <f>E100</f>
        <v>7677</v>
      </c>
    </row>
    <row r="93" spans="2:5" x14ac:dyDescent="0.25">
      <c r="B93" s="9" t="s">
        <v>51</v>
      </c>
      <c r="C93" s="24" t="s">
        <v>37</v>
      </c>
      <c r="D93" s="47">
        <f>D90-D91-D92</f>
        <v>-753.79000000000087</v>
      </c>
      <c r="E93" s="47">
        <f>E90-E91-E92</f>
        <v>-676.86000000000058</v>
      </c>
    </row>
    <row r="94" spans="2:5" x14ac:dyDescent="0.25">
      <c r="B94" s="9"/>
      <c r="D94" s="31"/>
      <c r="E94" s="31"/>
    </row>
    <row r="95" spans="2:5" x14ac:dyDescent="0.25">
      <c r="B95" s="9" t="s">
        <v>416</v>
      </c>
      <c r="C95" s="24" t="s">
        <v>40</v>
      </c>
      <c r="D95" s="55">
        <f>D91/D90</f>
        <v>0.81501778879844755</v>
      </c>
      <c r="E95" s="55">
        <f>E91/E90</f>
        <v>0.80869752951464802</v>
      </c>
    </row>
    <row r="96" spans="2:5" x14ac:dyDescent="0.25">
      <c r="B96" s="9"/>
      <c r="D96" s="55"/>
      <c r="E96" s="55"/>
    </row>
    <row r="97" spans="2:5" x14ac:dyDescent="0.25">
      <c r="B97" s="9" t="s">
        <v>409</v>
      </c>
      <c r="C97" s="24" t="s">
        <v>37</v>
      </c>
      <c r="D97" s="31">
        <f>D7*(1-D65)</f>
        <v>30238.79</v>
      </c>
      <c r="E97" s="31">
        <f>E7*(1-E65)</f>
        <v>29591.86</v>
      </c>
    </row>
    <row r="98" spans="2:5" x14ac:dyDescent="0.25">
      <c r="B98" s="9" t="s">
        <v>227</v>
      </c>
      <c r="C98" s="24" t="s">
        <v>40</v>
      </c>
      <c r="D98" s="32"/>
      <c r="E98" s="32">
        <f>E97/D97-1</f>
        <v>-2.1394043875432867E-2</v>
      </c>
    </row>
    <row r="99" spans="2:5" x14ac:dyDescent="0.25">
      <c r="B99" s="9"/>
      <c r="D99" s="32"/>
      <c r="E99" s="32"/>
    </row>
    <row r="100" spans="2:5" x14ac:dyDescent="0.25">
      <c r="B100" s="9" t="s">
        <v>399</v>
      </c>
      <c r="C100" s="24" t="s">
        <v>37</v>
      </c>
      <c r="D100" s="121">
        <f>D66</f>
        <v>7617</v>
      </c>
      <c r="E100" s="121">
        <f>E66</f>
        <v>7677</v>
      </c>
    </row>
    <row r="101" spans="2:5" x14ac:dyDescent="0.25">
      <c r="B101" s="9" t="s">
        <v>227</v>
      </c>
      <c r="C101" s="24" t="s">
        <v>40</v>
      </c>
      <c r="D101" s="32"/>
      <c r="E101" s="32">
        <f t="shared" ref="E101" si="8">E100/D100-1</f>
        <v>7.877116975187004E-3</v>
      </c>
    </row>
    <row r="102" spans="2:5" x14ac:dyDescent="0.25">
      <c r="B102" s="9" t="s">
        <v>399</v>
      </c>
      <c r="C102" s="29" t="s">
        <v>405</v>
      </c>
      <c r="D102" s="121">
        <f>D100/D52</f>
        <v>470.47560222359476</v>
      </c>
      <c r="E102" s="121">
        <f>E100/E52</f>
        <v>442.73356401384086</v>
      </c>
    </row>
    <row r="103" spans="2:5" x14ac:dyDescent="0.25">
      <c r="B103" s="9" t="s">
        <v>227</v>
      </c>
      <c r="C103" s="24" t="s">
        <v>40</v>
      </c>
      <c r="D103" s="32"/>
      <c r="E103" s="32">
        <f t="shared" ref="E103" si="9">E102/D102-1</f>
        <v>-5.8965944415900751E-2</v>
      </c>
    </row>
    <row r="104" spans="2:5" x14ac:dyDescent="0.25">
      <c r="B104" s="9"/>
      <c r="D104" s="31"/>
      <c r="E104" s="31"/>
    </row>
    <row r="105" spans="2:5" x14ac:dyDescent="0.25">
      <c r="B105" s="1" t="s">
        <v>48</v>
      </c>
      <c r="C105" s="37" t="s">
        <v>228</v>
      </c>
    </row>
    <row r="106" spans="2:5" x14ac:dyDescent="0.25">
      <c r="B106" s="9" t="s">
        <v>49</v>
      </c>
      <c r="C106" s="171">
        <v>0.67500000000000004</v>
      </c>
    </row>
    <row r="107" spans="2:5" x14ac:dyDescent="0.25">
      <c r="B107" s="9" t="s">
        <v>50</v>
      </c>
      <c r="C107" s="171">
        <v>0.125</v>
      </c>
    </row>
    <row r="108" spans="2:5" x14ac:dyDescent="0.25">
      <c r="B108" s="9" t="s">
        <v>51</v>
      </c>
      <c r="C108" s="171">
        <v>0.2</v>
      </c>
    </row>
    <row r="109" spans="2:5" x14ac:dyDescent="0.25">
      <c r="B109" s="1" t="s">
        <v>53</v>
      </c>
      <c r="C109" s="44">
        <f>SUM(C106:C108)</f>
        <v>1</v>
      </c>
    </row>
    <row r="111" spans="2:5" x14ac:dyDescent="0.25">
      <c r="B111" s="1" t="s">
        <v>199</v>
      </c>
      <c r="C111" s="24" t="s">
        <v>40</v>
      </c>
      <c r="D111" s="32"/>
      <c r="E111" s="32">
        <f>E46/D46-1</f>
        <v>1.1424944462075537E-2</v>
      </c>
    </row>
    <row r="112" spans="2:5" x14ac:dyDescent="0.25">
      <c r="D112" s="32"/>
      <c r="E112" s="32"/>
    </row>
    <row r="113" spans="2:5" x14ac:dyDescent="0.25">
      <c r="B113" s="9" t="s">
        <v>55</v>
      </c>
      <c r="C113" s="24" t="s">
        <v>40</v>
      </c>
      <c r="D113" s="32">
        <f>D33/D7</f>
        <v>0.3654008642541583</v>
      </c>
      <c r="E113" s="32">
        <f>E33/E7</f>
        <v>0.38890694941108805</v>
      </c>
    </row>
    <row r="114" spans="2:5" x14ac:dyDescent="0.25">
      <c r="B114" s="9"/>
    </row>
    <row r="115" spans="2:5" x14ac:dyDescent="0.25">
      <c r="B115" s="9" t="s">
        <v>56</v>
      </c>
      <c r="C115" s="24" t="s">
        <v>40</v>
      </c>
      <c r="D115" s="32">
        <f>D36/D7</f>
        <v>0.16300123120005794</v>
      </c>
      <c r="E115" s="32">
        <f>E36/E7</f>
        <v>0.1865012878541599</v>
      </c>
    </row>
    <row r="117" spans="2:5" x14ac:dyDescent="0.25">
      <c r="B117" s="9" t="s">
        <v>52</v>
      </c>
      <c r="C117" s="24" t="s">
        <v>40</v>
      </c>
      <c r="D117" s="32">
        <f>D40/D7</f>
        <v>6.8585085580474617E-2</v>
      </c>
      <c r="E117" s="32">
        <f>E40/E7</f>
        <v>5.396484033109105E-2</v>
      </c>
    </row>
    <row r="119" spans="2:5" x14ac:dyDescent="0.25">
      <c r="B119" s="9" t="s">
        <v>187</v>
      </c>
    </row>
    <row r="120" spans="2:5" x14ac:dyDescent="0.25">
      <c r="B120" s="9" t="s">
        <v>190</v>
      </c>
      <c r="C120" s="24" t="s">
        <v>40</v>
      </c>
      <c r="D120" s="32">
        <f t="shared" ref="D120:E120" si="10">D124/D127</f>
        <v>0.14816424071257875</v>
      </c>
      <c r="E120" s="32">
        <f t="shared" si="10"/>
        <v>-7.4006027727546719E-2</v>
      </c>
    </row>
    <row r="121" spans="2:5" x14ac:dyDescent="0.25">
      <c r="B121" s="9"/>
    </row>
    <row r="122" spans="2:5" x14ac:dyDescent="0.25">
      <c r="B122" s="1" t="s">
        <v>191</v>
      </c>
      <c r="C122" s="24" t="s">
        <v>37</v>
      </c>
      <c r="D122" s="31">
        <f>D18</f>
        <v>3100</v>
      </c>
      <c r="E122" s="31">
        <f>E18</f>
        <v>-894</v>
      </c>
    </row>
    <row r="123" spans="2:5" x14ac:dyDescent="0.25">
      <c r="B123" s="1" t="s">
        <v>177</v>
      </c>
      <c r="C123" s="24" t="s">
        <v>40</v>
      </c>
      <c r="D123" s="38">
        <f>D68</f>
        <v>0.34</v>
      </c>
      <c r="E123" s="38">
        <f>E68</f>
        <v>-0.03</v>
      </c>
    </row>
    <row r="124" spans="2:5" x14ac:dyDescent="0.25">
      <c r="B124" s="1" t="s">
        <v>186</v>
      </c>
      <c r="C124" s="24" t="s">
        <v>37</v>
      </c>
      <c r="D124" s="31">
        <f t="shared" ref="D124:E124" si="11">D122*(1-D123)</f>
        <v>2045.9999999999998</v>
      </c>
      <c r="E124" s="31">
        <f t="shared" si="11"/>
        <v>-920.82</v>
      </c>
    </row>
    <row r="125" spans="2:5" x14ac:dyDescent="0.25">
      <c r="D125" s="31"/>
      <c r="E125" s="31"/>
    </row>
    <row r="126" spans="2:5" x14ac:dyDescent="0.25">
      <c r="B126" s="1" t="s">
        <v>188</v>
      </c>
      <c r="C126" s="24" t="s">
        <v>37</v>
      </c>
      <c r="D126" s="31">
        <f>D34-D37</f>
        <v>13809</v>
      </c>
      <c r="E126" s="31">
        <f>E34-E37</f>
        <v>11076</v>
      </c>
    </row>
    <row r="127" spans="2:5" x14ac:dyDescent="0.25">
      <c r="B127" s="1" t="s">
        <v>189</v>
      </c>
      <c r="C127" s="24" t="s">
        <v>37</v>
      </c>
      <c r="D127" s="31">
        <f>AVERAGE(D126:D126)</f>
        <v>13809</v>
      </c>
      <c r="E127" s="31">
        <f t="shared" ref="E127" si="12">AVERAGE(D126:E126)</f>
        <v>12442.5</v>
      </c>
    </row>
  </sheetData>
  <pageMargins left="0.7" right="0.7" top="0.75" bottom="0.75" header="0.3" footer="0.3"/>
  <pageSetup paperSize="9" scale="26"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B1:XEN56"/>
  <sheetViews>
    <sheetView view="pageBreakPreview" zoomScale="80" zoomScaleNormal="80" zoomScaleSheetLayoutView="80" workbookViewId="0">
      <pane xSplit="3" ySplit="4" topLeftCell="D30" activePane="bottomRight" state="frozen"/>
      <selection activeCell="B31" sqref="B31"/>
      <selection pane="topRight" activeCell="B31" sqref="B31"/>
      <selection pane="bottomLeft" activeCell="B31" sqref="B31"/>
      <selection pane="bottomRight" activeCell="E46" sqref="E46"/>
    </sheetView>
  </sheetViews>
  <sheetFormatPr defaultColWidth="9.21875" defaultRowHeight="13.2"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366</v>
      </c>
      <c r="C4" s="23" t="s">
        <v>2</v>
      </c>
      <c r="D4" s="5" t="s">
        <v>234</v>
      </c>
      <c r="E4" s="5" t="s">
        <v>235</v>
      </c>
    </row>
    <row r="5" spans="2:5" x14ac:dyDescent="0.25">
      <c r="D5" s="12"/>
      <c r="E5" s="12"/>
    </row>
    <row r="6" spans="2:5" x14ac:dyDescent="0.25">
      <c r="B6" s="39" t="s">
        <v>4</v>
      </c>
      <c r="D6" s="12"/>
      <c r="E6" s="12"/>
    </row>
    <row r="7" spans="2:5" s="2" customFormat="1" x14ac:dyDescent="0.25">
      <c r="B7" s="2" t="s">
        <v>5</v>
      </c>
      <c r="C7" s="25" t="s">
        <v>37</v>
      </c>
      <c r="D7" s="18">
        <f t="shared" ref="D7" si="0">SUM(D8:D9)</f>
        <v>78</v>
      </c>
      <c r="E7" s="18">
        <f t="shared" ref="E7" si="1">SUM(E8:E9)</f>
        <v>30</v>
      </c>
    </row>
    <row r="8" spans="2:5" x14ac:dyDescent="0.25">
      <c r="B8" s="13" t="s">
        <v>7</v>
      </c>
      <c r="C8" s="26" t="s">
        <v>37</v>
      </c>
      <c r="D8" s="75">
        <v>60</v>
      </c>
      <c r="E8" s="75">
        <v>0</v>
      </c>
    </row>
    <row r="9" spans="2:5" x14ac:dyDescent="0.25">
      <c r="B9" s="15" t="s">
        <v>11</v>
      </c>
      <c r="C9" s="27" t="s">
        <v>37</v>
      </c>
      <c r="D9" s="53">
        <v>18</v>
      </c>
      <c r="E9" s="53">
        <v>30</v>
      </c>
    </row>
    <row r="10" spans="2:5" x14ac:dyDescent="0.25">
      <c r="B10" s="9"/>
      <c r="D10" s="12"/>
      <c r="E10" s="12"/>
    </row>
    <row r="11" spans="2:5" x14ac:dyDescent="0.25">
      <c r="B11" s="1" t="s">
        <v>214</v>
      </c>
      <c r="C11" s="24" t="s">
        <v>37</v>
      </c>
      <c r="D11" s="52">
        <f>-2176-D12-D14-D15-D17</f>
        <v>-3301</v>
      </c>
      <c r="E11" s="52">
        <f>-13115-E12-E14-E17</f>
        <v>-6311</v>
      </c>
    </row>
    <row r="12" spans="2:5" x14ac:dyDescent="0.25">
      <c r="B12" s="16" t="s">
        <v>8</v>
      </c>
      <c r="C12" s="27" t="s">
        <v>37</v>
      </c>
      <c r="D12" s="53">
        <v>1147</v>
      </c>
      <c r="E12" s="53">
        <v>-6556</v>
      </c>
    </row>
    <row r="13" spans="2:5" s="94" customFormat="1" x14ac:dyDescent="0.25">
      <c r="B13" s="94" t="s">
        <v>215</v>
      </c>
      <c r="C13" s="95" t="s">
        <v>37</v>
      </c>
      <c r="D13" s="96">
        <f t="shared" ref="D13" si="2">SUM(D11:D12)</f>
        <v>-2154</v>
      </c>
      <c r="E13" s="96">
        <f t="shared" ref="E13" si="3">SUM(E11:E12)</f>
        <v>-12867</v>
      </c>
    </row>
    <row r="14" spans="2:5" s="97" customFormat="1" x14ac:dyDescent="0.25">
      <c r="B14" s="97" t="s">
        <v>216</v>
      </c>
      <c r="C14" s="24" t="s">
        <v>37</v>
      </c>
      <c r="D14" s="100">
        <v>-18</v>
      </c>
      <c r="E14" s="100">
        <v>-18</v>
      </c>
    </row>
    <row r="15" spans="2:5" s="97" customFormat="1" x14ac:dyDescent="0.25">
      <c r="B15" s="99" t="s">
        <v>217</v>
      </c>
      <c r="C15" s="27" t="s">
        <v>37</v>
      </c>
      <c r="D15" s="101"/>
      <c r="E15" s="101"/>
    </row>
    <row r="16" spans="2:5" s="97" customFormat="1" x14ac:dyDescent="0.25">
      <c r="B16" s="97" t="s">
        <v>218</v>
      </c>
      <c r="C16" s="24" t="s">
        <v>37</v>
      </c>
      <c r="D16" s="98">
        <f t="shared" ref="D16" si="4">SUM(D13:D15)</f>
        <v>-2172</v>
      </c>
      <c r="E16" s="98">
        <f t="shared" ref="E16" si="5">SUM(E13:E15)</f>
        <v>-12885</v>
      </c>
    </row>
    <row r="17" spans="2:5" x14ac:dyDescent="0.25">
      <c r="B17" s="16" t="s">
        <v>9</v>
      </c>
      <c r="C17" s="27" t="s">
        <v>37</v>
      </c>
      <c r="D17" s="53">
        <v>-4</v>
      </c>
      <c r="E17" s="53">
        <v>-230</v>
      </c>
    </row>
    <row r="18" spans="2:5" s="2" customFormat="1" x14ac:dyDescent="0.25">
      <c r="B18" s="2" t="s">
        <v>392</v>
      </c>
      <c r="C18" s="25" t="s">
        <v>37</v>
      </c>
      <c r="D18" s="18">
        <f t="shared" ref="D18" si="6">SUM(D16:D17)</f>
        <v>-2176</v>
      </c>
      <c r="E18" s="18">
        <f t="shared" ref="E18" si="7">SUM(E16:E17)</f>
        <v>-13115</v>
      </c>
    </row>
    <row r="19" spans="2:5" x14ac:dyDescent="0.25">
      <c r="B19" s="1" t="s">
        <v>108</v>
      </c>
      <c r="C19" s="24" t="s">
        <v>37</v>
      </c>
      <c r="D19" s="52">
        <v>507</v>
      </c>
      <c r="E19" s="52">
        <v>526</v>
      </c>
    </row>
    <row r="20" spans="2:5" x14ac:dyDescent="0.25">
      <c r="B20" s="1" t="s">
        <v>239</v>
      </c>
      <c r="C20" s="24" t="s">
        <v>37</v>
      </c>
      <c r="D20" s="52">
        <v>217</v>
      </c>
      <c r="E20" s="52">
        <v>355</v>
      </c>
    </row>
    <row r="21" spans="2:5" x14ac:dyDescent="0.25">
      <c r="B21" s="1" t="s">
        <v>9</v>
      </c>
      <c r="C21" s="24" t="s">
        <v>37</v>
      </c>
      <c r="D21" s="52">
        <f t="shared" ref="D21" si="8">-D17</f>
        <v>4</v>
      </c>
      <c r="E21" s="52">
        <f t="shared" ref="E21" si="9">-E17</f>
        <v>230</v>
      </c>
    </row>
    <row r="22" spans="2:5" x14ac:dyDescent="0.25">
      <c r="B22" s="1" t="s">
        <v>238</v>
      </c>
      <c r="C22" s="24" t="s">
        <v>37</v>
      </c>
      <c r="D22" s="52">
        <v>235</v>
      </c>
      <c r="E22" s="52">
        <v>429</v>
      </c>
    </row>
    <row r="23" spans="2:5" x14ac:dyDescent="0.25">
      <c r="B23" s="1" t="s">
        <v>376</v>
      </c>
      <c r="C23" s="24" t="s">
        <v>37</v>
      </c>
      <c r="D23" s="52">
        <f>-789-481</f>
        <v>-1270</v>
      </c>
      <c r="E23" s="52">
        <f>6746+2750</f>
        <v>9496</v>
      </c>
    </row>
    <row r="24" spans="2:5" x14ac:dyDescent="0.25">
      <c r="B24" s="1" t="s">
        <v>243</v>
      </c>
      <c r="C24" s="29" t="s">
        <v>37</v>
      </c>
      <c r="D24" s="52">
        <v>0</v>
      </c>
      <c r="E24" s="52">
        <v>0</v>
      </c>
    </row>
    <row r="25" spans="2:5" s="2" customFormat="1" ht="13.8" thickBot="1" x14ac:dyDescent="0.3">
      <c r="B25" s="19" t="s">
        <v>244</v>
      </c>
      <c r="C25" s="28" t="s">
        <v>37</v>
      </c>
      <c r="D25" s="20">
        <f>SUM(D18:D24)</f>
        <v>-2483</v>
      </c>
      <c r="E25" s="20">
        <f>SUM(E18:E24)</f>
        <v>-2079</v>
      </c>
    </row>
    <row r="26" spans="2:5" x14ac:dyDescent="0.25">
      <c r="D26" s="12"/>
      <c r="E26" s="12"/>
    </row>
    <row r="27" spans="2:5" x14ac:dyDescent="0.25">
      <c r="B27" s="39" t="s">
        <v>21</v>
      </c>
      <c r="D27" s="12"/>
      <c r="E27" s="12"/>
    </row>
    <row r="28" spans="2:5" x14ac:dyDescent="0.25">
      <c r="B28" s="1" t="s">
        <v>12</v>
      </c>
      <c r="C28" s="24" t="s">
        <v>37</v>
      </c>
      <c r="D28" s="52">
        <v>3358</v>
      </c>
      <c r="E28" s="52">
        <v>3219</v>
      </c>
    </row>
    <row r="29" spans="2:5" x14ac:dyDescent="0.25">
      <c r="B29" s="1" t="s">
        <v>368</v>
      </c>
      <c r="C29" s="24" t="s">
        <v>37</v>
      </c>
      <c r="D29" s="52">
        <v>0</v>
      </c>
      <c r="E29" s="52">
        <v>2429</v>
      </c>
    </row>
    <row r="30" spans="2:5" x14ac:dyDescent="0.25">
      <c r="B30" s="1" t="s">
        <v>13</v>
      </c>
      <c r="C30" s="24" t="s">
        <v>37</v>
      </c>
      <c r="D30" s="52">
        <v>682</v>
      </c>
      <c r="E30" s="52">
        <v>581</v>
      </c>
    </row>
    <row r="31" spans="2:5" x14ac:dyDescent="0.25">
      <c r="B31" s="1" t="s">
        <v>219</v>
      </c>
      <c r="C31" s="24" t="s">
        <v>37</v>
      </c>
      <c r="D31" s="52">
        <v>747</v>
      </c>
      <c r="E31" s="52">
        <v>732</v>
      </c>
    </row>
    <row r="32" spans="2:5" x14ac:dyDescent="0.25">
      <c r="B32" s="1" t="s">
        <v>14</v>
      </c>
      <c r="C32" s="24" t="s">
        <v>37</v>
      </c>
      <c r="D32" s="52">
        <v>1870</v>
      </c>
      <c r="E32" s="52">
        <v>2348</v>
      </c>
    </row>
    <row r="33" spans="2:5" x14ac:dyDescent="0.25">
      <c r="B33" s="1" t="s">
        <v>15</v>
      </c>
      <c r="C33" s="24" t="s">
        <v>37</v>
      </c>
      <c r="D33" s="52">
        <v>8024</v>
      </c>
      <c r="E33" s="52">
        <v>28318</v>
      </c>
    </row>
    <row r="34" spans="2:5" ht="13.8" thickBot="1" x14ac:dyDescent="0.3">
      <c r="B34" s="19" t="s">
        <v>16</v>
      </c>
      <c r="C34" s="28" t="s">
        <v>37</v>
      </c>
      <c r="D34" s="20">
        <f t="shared" ref="D34" si="10">SUM(D28:D33)</f>
        <v>14681</v>
      </c>
      <c r="E34" s="20">
        <f t="shared" ref="E34" si="11">SUM(E28:E33)</f>
        <v>37627</v>
      </c>
    </row>
    <row r="35" spans="2:5" x14ac:dyDescent="0.25">
      <c r="B35" s="1" t="s">
        <v>17</v>
      </c>
      <c r="C35" s="24" t="s">
        <v>37</v>
      </c>
      <c r="D35" s="159">
        <v>124735</v>
      </c>
      <c r="E35" s="159">
        <v>150961</v>
      </c>
    </row>
    <row r="36" spans="2:5" x14ac:dyDescent="0.25">
      <c r="B36" s="1" t="s">
        <v>18</v>
      </c>
      <c r="C36" s="24" t="s">
        <v>37</v>
      </c>
      <c r="D36" s="159">
        <v>7276</v>
      </c>
      <c r="E36" s="159">
        <v>50784</v>
      </c>
    </row>
    <row r="37" spans="2:5" ht="13.8" thickBot="1" x14ac:dyDescent="0.3">
      <c r="B37" s="19" t="s">
        <v>19</v>
      </c>
      <c r="C37" s="28" t="s">
        <v>37</v>
      </c>
      <c r="D37" s="20">
        <f t="shared" ref="D37" si="12">SUM(D35:D36)</f>
        <v>132011</v>
      </c>
      <c r="E37" s="20">
        <f t="shared" ref="E37" si="13">SUM(E35:E36)</f>
        <v>201745</v>
      </c>
    </row>
    <row r="38" spans="2:5" x14ac:dyDescent="0.25">
      <c r="D38" s="12"/>
      <c r="E38" s="12"/>
    </row>
    <row r="39" spans="2:5" x14ac:dyDescent="0.25">
      <c r="B39" s="39" t="s">
        <v>20</v>
      </c>
      <c r="D39" s="12"/>
      <c r="E39" s="12"/>
    </row>
    <row r="40" spans="2:5" x14ac:dyDescent="0.25">
      <c r="B40" s="16" t="s">
        <v>223</v>
      </c>
      <c r="C40" s="27" t="s">
        <v>37</v>
      </c>
      <c r="D40" s="53">
        <v>853</v>
      </c>
      <c r="E40" s="53">
        <v>877</v>
      </c>
    </row>
    <row r="41" spans="2:5" x14ac:dyDescent="0.25">
      <c r="D41" s="12"/>
      <c r="E41" s="12"/>
    </row>
    <row r="42" spans="2:5" x14ac:dyDescent="0.25">
      <c r="B42" s="2" t="s">
        <v>22</v>
      </c>
      <c r="D42" s="12"/>
      <c r="E42" s="12"/>
    </row>
    <row r="43" spans="2:5" x14ac:dyDescent="0.25">
      <c r="B43" s="1" t="s">
        <v>220</v>
      </c>
      <c r="C43" s="24" t="s">
        <v>37</v>
      </c>
      <c r="D43" s="52">
        <v>599</v>
      </c>
      <c r="E43" s="52">
        <v>152</v>
      </c>
    </row>
    <row r="44" spans="2:5" x14ac:dyDescent="0.25">
      <c r="B44" s="1" t="s">
        <v>221</v>
      </c>
      <c r="C44" s="24" t="s">
        <v>37</v>
      </c>
      <c r="D44" s="52">
        <v>0</v>
      </c>
      <c r="E44" s="52">
        <v>0</v>
      </c>
    </row>
    <row r="45" spans="2:5" x14ac:dyDescent="0.25">
      <c r="D45" s="12"/>
      <c r="E45" s="12"/>
    </row>
    <row r="46" spans="2:5" x14ac:dyDescent="0.25">
      <c r="B46" s="16" t="s">
        <v>23</v>
      </c>
      <c r="C46" s="27" t="s">
        <v>198</v>
      </c>
      <c r="D46" s="53">
        <v>4733</v>
      </c>
      <c r="E46" s="53">
        <v>4312</v>
      </c>
    </row>
    <row r="47" spans="2:5" x14ac:dyDescent="0.25">
      <c r="D47" s="12"/>
      <c r="E47" s="12"/>
    </row>
    <row r="48" spans="2:5" x14ac:dyDescent="0.25">
      <c r="D48" s="12"/>
      <c r="E48" s="12"/>
    </row>
    <row r="49" spans="2:5 16368:16368" x14ac:dyDescent="0.25">
      <c r="B49" s="39" t="s">
        <v>38</v>
      </c>
      <c r="D49" s="12"/>
      <c r="E49" s="12"/>
    </row>
    <row r="50" spans="2:5 16368:16368" x14ac:dyDescent="0.25">
      <c r="B50" s="9"/>
      <c r="D50" s="31"/>
      <c r="E50" s="31"/>
    </row>
    <row r="51" spans="2:5 16368:16368" x14ac:dyDescent="0.25">
      <c r="B51" s="1" t="s">
        <v>214</v>
      </c>
      <c r="C51" s="24" t="s">
        <v>37</v>
      </c>
      <c r="D51" s="31">
        <f>D11</f>
        <v>-3301</v>
      </c>
      <c r="E51" s="31">
        <f>E11</f>
        <v>-6311</v>
      </c>
    </row>
    <row r="52" spans="2:5 16368:16368" x14ac:dyDescent="0.25">
      <c r="B52" s="16" t="s">
        <v>238</v>
      </c>
      <c r="C52" s="27" t="s">
        <v>37</v>
      </c>
      <c r="D52" s="47">
        <f>D22</f>
        <v>235</v>
      </c>
      <c r="E52" s="47">
        <f>E22</f>
        <v>429</v>
      </c>
      <c r="XEN52" s="85"/>
    </row>
    <row r="53" spans="2:5 16368:16368" x14ac:dyDescent="0.25">
      <c r="B53" s="1" t="s">
        <v>262</v>
      </c>
      <c r="C53" s="24" t="s">
        <v>37</v>
      </c>
      <c r="D53" s="121">
        <f>SUM(D51:D52)</f>
        <v>-3066</v>
      </c>
      <c r="E53" s="121">
        <f>SUM(E51:E52)</f>
        <v>-5882</v>
      </c>
    </row>
    <row r="54" spans="2:5 16368:16368" x14ac:dyDescent="0.25">
      <c r="D54" s="12"/>
      <c r="E54" s="12"/>
    </row>
    <row r="55" spans="2:5 16368:16368" x14ac:dyDescent="0.25">
      <c r="D55" s="12"/>
      <c r="E55" s="12"/>
    </row>
    <row r="56" spans="2:5 16368:16368" x14ac:dyDescent="0.25">
      <c r="D56" s="31"/>
      <c r="E56" s="31"/>
    </row>
  </sheetData>
  <pageMargins left="0.7" right="0.7" top="0.75" bottom="0.75" header="0.3" footer="0.3"/>
  <pageSetup paperSize="9" scale="3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B1:E38"/>
  <sheetViews>
    <sheetView view="pageBreakPreview" zoomScale="80" zoomScaleNormal="80" zoomScaleSheetLayoutView="80" workbookViewId="0">
      <pane xSplit="3" ySplit="4" topLeftCell="D5" activePane="bottomRight" state="frozen"/>
      <selection activeCell="G98" sqref="G98"/>
      <selection pane="topRight" activeCell="G98" sqref="G98"/>
      <selection pane="bottomLeft" activeCell="G98" sqref="G98"/>
      <selection pane="bottomRight" activeCell="B4" sqref="B4"/>
    </sheetView>
  </sheetViews>
  <sheetFormatPr defaultColWidth="9.21875" defaultRowHeight="13.2"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172</v>
      </c>
      <c r="C4" s="23" t="s">
        <v>2</v>
      </c>
      <c r="D4" s="5" t="s">
        <v>234</v>
      </c>
      <c r="E4" s="5" t="s">
        <v>235</v>
      </c>
    </row>
    <row r="5" spans="2:5" x14ac:dyDescent="0.25">
      <c r="D5" s="12"/>
      <c r="E5" s="12"/>
    </row>
    <row r="6" spans="2:5" x14ac:dyDescent="0.25">
      <c r="B6" s="39" t="s">
        <v>174</v>
      </c>
      <c r="D6" s="12"/>
      <c r="E6" s="12"/>
    </row>
    <row r="7" spans="2:5" x14ac:dyDescent="0.25">
      <c r="B7" s="2" t="s">
        <v>314</v>
      </c>
    </row>
    <row r="8" spans="2:5" x14ac:dyDescent="0.25">
      <c r="B8" s="1" t="s">
        <v>312</v>
      </c>
      <c r="C8" s="24" t="s">
        <v>37</v>
      </c>
      <c r="D8" s="12">
        <f>Mining!D61*Mining!D77</f>
        <v>10204.102301790281</v>
      </c>
      <c r="E8" s="12">
        <f>Mining!E61*Mining!E77</f>
        <v>11119.336734693876</v>
      </c>
    </row>
    <row r="9" spans="2:5" x14ac:dyDescent="0.25">
      <c r="B9" s="1" t="s">
        <v>313</v>
      </c>
      <c r="C9" s="24" t="s">
        <v>37</v>
      </c>
      <c r="D9" s="12">
        <f>Fuels!D149</f>
        <v>10204.102301790281</v>
      </c>
      <c r="E9" s="12">
        <f>Fuels!E149</f>
        <v>11119.336734693876</v>
      </c>
    </row>
    <row r="10" spans="2:5" s="2" customFormat="1" ht="13.8" thickBot="1" x14ac:dyDescent="0.3">
      <c r="B10" s="68" t="s">
        <v>171</v>
      </c>
      <c r="C10" s="28" t="s">
        <v>37</v>
      </c>
      <c r="D10" s="66">
        <f t="shared" ref="D10:E10" si="0">D8-D9</f>
        <v>0</v>
      </c>
      <c r="E10" s="66">
        <f t="shared" si="0"/>
        <v>0</v>
      </c>
    </row>
    <row r="12" spans="2:5" x14ac:dyDescent="0.25">
      <c r="B12" s="2" t="s">
        <v>379</v>
      </c>
    </row>
    <row r="13" spans="2:5" x14ac:dyDescent="0.25">
      <c r="B13" s="1" t="s">
        <v>380</v>
      </c>
      <c r="C13" s="24" t="s">
        <v>37</v>
      </c>
      <c r="D13" s="12">
        <f>Mining!D62*Mining!D77</f>
        <v>7449.8976982097183</v>
      </c>
      <c r="E13" s="12">
        <f>Mining!E62*Mining!E77</f>
        <v>7428.6632653061215</v>
      </c>
    </row>
    <row r="14" spans="2:5" x14ac:dyDescent="0.25">
      <c r="B14" s="1" t="s">
        <v>381</v>
      </c>
      <c r="C14" s="24" t="s">
        <v>37</v>
      </c>
      <c r="D14" s="12">
        <f>'Chemicals Africa'!D105</f>
        <v>7449.8976982097183</v>
      </c>
      <c r="E14" s="12">
        <f>'Chemicals Africa'!E105</f>
        <v>7428.6632653061215</v>
      </c>
    </row>
    <row r="15" spans="2:5" s="2" customFormat="1" ht="13.8" thickBot="1" x14ac:dyDescent="0.3">
      <c r="B15" s="68" t="s">
        <v>171</v>
      </c>
      <c r="C15" s="28" t="s">
        <v>37</v>
      </c>
      <c r="D15" s="66">
        <f t="shared" ref="D15:E15" si="1">D13-D14</f>
        <v>0</v>
      </c>
      <c r="E15" s="66">
        <f t="shared" si="1"/>
        <v>0</v>
      </c>
    </row>
    <row r="17" spans="2:5" x14ac:dyDescent="0.25">
      <c r="B17" s="2" t="s">
        <v>315</v>
      </c>
    </row>
    <row r="18" spans="2:5" x14ac:dyDescent="0.25">
      <c r="B18" s="1" t="s">
        <v>316</v>
      </c>
      <c r="C18" s="24" t="s">
        <v>37</v>
      </c>
      <c r="D18" s="12">
        <f>Gas!D73*Gas!D141</f>
        <v>1904.1567567567567</v>
      </c>
      <c r="E18" s="12">
        <f>Gas!E73*Gas!E141</f>
        <v>1647.2359249329759</v>
      </c>
    </row>
    <row r="19" spans="2:5" x14ac:dyDescent="0.25">
      <c r="B19" s="1" t="s">
        <v>317</v>
      </c>
      <c r="C19" s="24" t="s">
        <v>37</v>
      </c>
      <c r="D19" s="12">
        <f>Fuels!D150</f>
        <v>1904.1567567567567</v>
      </c>
      <c r="E19" s="12">
        <f>Fuels!E150</f>
        <v>1647.2359249329759</v>
      </c>
    </row>
    <row r="20" spans="2:5" s="2" customFormat="1" ht="13.8" thickBot="1" x14ac:dyDescent="0.3">
      <c r="B20" s="68" t="s">
        <v>171</v>
      </c>
      <c r="C20" s="28" t="s">
        <v>37</v>
      </c>
      <c r="D20" s="66">
        <f t="shared" ref="D20:E20" si="2">D18-D19</f>
        <v>0</v>
      </c>
      <c r="E20" s="66">
        <f t="shared" si="2"/>
        <v>0</v>
      </c>
    </row>
    <row r="22" spans="2:5" x14ac:dyDescent="0.25">
      <c r="B22" s="2" t="s">
        <v>382</v>
      </c>
    </row>
    <row r="23" spans="2:5" x14ac:dyDescent="0.25">
      <c r="B23" s="1" t="s">
        <v>383</v>
      </c>
      <c r="C23" s="24" t="s">
        <v>37</v>
      </c>
      <c r="D23" s="12">
        <f>Gas!D74*Gas!D141</f>
        <v>2444.8432432432433</v>
      </c>
      <c r="E23" s="12">
        <f>Gas!E74*Gas!E141</f>
        <v>2421.7640750670239</v>
      </c>
    </row>
    <row r="24" spans="2:5" x14ac:dyDescent="0.25">
      <c r="B24" s="1" t="s">
        <v>384</v>
      </c>
      <c r="C24" s="24" t="s">
        <v>37</v>
      </c>
      <c r="D24" s="12">
        <f>'Chemicals Africa'!D106</f>
        <v>2444.8432432432433</v>
      </c>
      <c r="E24" s="12">
        <f>'Chemicals Africa'!E106</f>
        <v>2421.7640750670239</v>
      </c>
    </row>
    <row r="25" spans="2:5" s="2" customFormat="1" ht="13.8" thickBot="1" x14ac:dyDescent="0.3">
      <c r="B25" s="68" t="s">
        <v>171</v>
      </c>
      <c r="C25" s="28" t="s">
        <v>37</v>
      </c>
      <c r="D25" s="66">
        <f t="shared" ref="D25:E25" si="3">D23-D24</f>
        <v>0</v>
      </c>
      <c r="E25" s="66">
        <f t="shared" si="3"/>
        <v>0</v>
      </c>
    </row>
    <row r="27" spans="2:5" x14ac:dyDescent="0.25">
      <c r="B27" s="39" t="s">
        <v>173</v>
      </c>
    </row>
    <row r="28" spans="2:5" x14ac:dyDescent="0.25">
      <c r="B28" s="1" t="s">
        <v>385</v>
      </c>
      <c r="C28" s="24" t="s">
        <v>37</v>
      </c>
      <c r="D28" s="31">
        <f>SUM(D8,D13)</f>
        <v>17654</v>
      </c>
      <c r="E28" s="31">
        <f t="shared" ref="E28" si="4">SUM(E8,E13)</f>
        <v>18547.999999999996</v>
      </c>
    </row>
    <row r="29" spans="2:5" x14ac:dyDescent="0.25">
      <c r="B29" s="1" t="s">
        <v>386</v>
      </c>
      <c r="C29" s="24" t="s">
        <v>37</v>
      </c>
      <c r="D29" s="31">
        <f>SUM(D9,D14)</f>
        <v>17654</v>
      </c>
      <c r="E29" s="31">
        <f t="shared" ref="E29" si="5">SUM(E9,E14)</f>
        <v>18547.999999999996</v>
      </c>
    </row>
    <row r="30" spans="2:5" s="2" customFormat="1" ht="13.8" thickBot="1" x14ac:dyDescent="0.3">
      <c r="B30" s="68" t="s">
        <v>171</v>
      </c>
      <c r="C30" s="28" t="s">
        <v>37</v>
      </c>
      <c r="D30" s="66">
        <f t="shared" ref="D30:E30" si="6">D28-D29</f>
        <v>0</v>
      </c>
      <c r="E30" s="66">
        <f t="shared" si="6"/>
        <v>0</v>
      </c>
    </row>
    <row r="32" spans="2:5" x14ac:dyDescent="0.25">
      <c r="B32" s="1" t="s">
        <v>387</v>
      </c>
      <c r="C32" s="24" t="s">
        <v>37</v>
      </c>
      <c r="D32" s="31">
        <f>SUM(D18,D23)</f>
        <v>4349</v>
      </c>
      <c r="E32" s="31">
        <f t="shared" ref="E32" si="7">SUM(E18,E23)</f>
        <v>4069</v>
      </c>
    </row>
    <row r="33" spans="2:5" x14ac:dyDescent="0.25">
      <c r="B33" s="1" t="s">
        <v>388</v>
      </c>
      <c r="C33" s="24" t="s">
        <v>37</v>
      </c>
      <c r="D33" s="31">
        <f>SUM(D19,D24)</f>
        <v>4349</v>
      </c>
      <c r="E33" s="31">
        <f t="shared" ref="E33" si="8">SUM(E19,E24)</f>
        <v>4069</v>
      </c>
    </row>
    <row r="34" spans="2:5" s="2" customFormat="1" ht="13.8" thickBot="1" x14ac:dyDescent="0.3">
      <c r="B34" s="68" t="s">
        <v>171</v>
      </c>
      <c r="C34" s="28" t="s">
        <v>37</v>
      </c>
      <c r="D34" s="66">
        <f t="shared" ref="D34:E34" si="9">D32-D33</f>
        <v>0</v>
      </c>
      <c r="E34" s="66">
        <f t="shared" si="9"/>
        <v>0</v>
      </c>
    </row>
    <row r="36" spans="2:5" x14ac:dyDescent="0.25">
      <c r="B36" s="1" t="s">
        <v>175</v>
      </c>
      <c r="C36" s="24" t="s">
        <v>37</v>
      </c>
      <c r="D36" s="31">
        <f t="shared" ref="D36:E36" si="10">SUM(D28,D32)</f>
        <v>22003</v>
      </c>
      <c r="E36" s="31">
        <f t="shared" si="10"/>
        <v>22616.999999999996</v>
      </c>
    </row>
    <row r="37" spans="2:5" x14ac:dyDescent="0.25">
      <c r="B37" s="1" t="s">
        <v>176</v>
      </c>
      <c r="C37" s="24" t="s">
        <v>37</v>
      </c>
      <c r="D37" s="31">
        <f t="shared" ref="D37:E37" si="11">SUM(D29,D33)</f>
        <v>22003</v>
      </c>
      <c r="E37" s="31">
        <f t="shared" si="11"/>
        <v>22616.999999999996</v>
      </c>
    </row>
    <row r="38" spans="2:5" s="2" customFormat="1" ht="13.8" thickBot="1" x14ac:dyDescent="0.3">
      <c r="B38" s="68" t="s">
        <v>171</v>
      </c>
      <c r="C38" s="28" t="s">
        <v>37</v>
      </c>
      <c r="D38" s="66">
        <f t="shared" ref="D38:E38" si="12">D36-D37</f>
        <v>0</v>
      </c>
      <c r="E38" s="66">
        <f t="shared" si="12"/>
        <v>0</v>
      </c>
    </row>
  </sheetData>
  <pageMargins left="0.7" right="0.7" top="0.75" bottom="0.75" header="0.3" footer="0.3"/>
  <pageSetup paperSize="9" scale="2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C11"/>
  <sheetViews>
    <sheetView view="pageBreakPreview" zoomScale="80" zoomScaleNormal="80" zoomScaleSheetLayoutView="80" workbookViewId="0">
      <selection activeCell="B4" sqref="B4"/>
    </sheetView>
  </sheetViews>
  <sheetFormatPr defaultColWidth="9.21875" defaultRowHeight="13.2" x14ac:dyDescent="0.25"/>
  <cols>
    <col min="1" max="1" width="1.44140625" style="1" customWidth="1"/>
    <col min="2" max="2" width="31.21875" style="1" customWidth="1"/>
    <col min="3" max="3" width="23.88671875" style="1" customWidth="1"/>
    <col min="4" max="15" width="15.44140625" style="1" customWidth="1"/>
    <col min="16" max="16384" width="9.21875" style="1"/>
  </cols>
  <sheetData>
    <row r="1" spans="2:3" ht="17.399999999999999" x14ac:dyDescent="0.3">
      <c r="B1" s="3" t="str">
        <f>[3]Assumptions!B1</f>
        <v>Sasol Limited</v>
      </c>
      <c r="C1" s="6"/>
    </row>
    <row r="2" spans="2:3" ht="15.6" x14ac:dyDescent="0.3">
      <c r="B2" s="4" t="str">
        <f>[3]Assumptions!B2</f>
        <v>Model</v>
      </c>
      <c r="C2" s="7"/>
    </row>
    <row r="4" spans="2:3" x14ac:dyDescent="0.25">
      <c r="B4" s="2" t="s">
        <v>389</v>
      </c>
    </row>
    <row r="6" spans="2:3" x14ac:dyDescent="0.25">
      <c r="B6" s="8" t="s">
        <v>410</v>
      </c>
      <c r="C6" s="8"/>
    </row>
    <row r="7" spans="2:3" x14ac:dyDescent="0.25">
      <c r="B7" s="76" t="s">
        <v>203</v>
      </c>
      <c r="C7" s="76"/>
    </row>
    <row r="8" spans="2:3" x14ac:dyDescent="0.25">
      <c r="B8" s="170" t="s">
        <v>411</v>
      </c>
      <c r="C8" s="170"/>
    </row>
    <row r="9" spans="2:3" x14ac:dyDescent="0.25">
      <c r="B9" s="77" t="s">
        <v>3</v>
      </c>
      <c r="C9" s="77"/>
    </row>
    <row r="10" spans="2:3" x14ac:dyDescent="0.25">
      <c r="B10" s="1" t="s">
        <v>204</v>
      </c>
    </row>
    <row r="11" spans="2:3" x14ac:dyDescent="0.25">
      <c r="B11" s="103" t="s">
        <v>226</v>
      </c>
      <c r="C11" s="10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B1:F54"/>
  <sheetViews>
    <sheetView view="pageBreakPreview" zoomScale="80" zoomScaleNormal="80" zoomScaleSheetLayoutView="80" workbookViewId="0">
      <pane xSplit="3" ySplit="4" topLeftCell="D5" activePane="bottomRight" state="frozen"/>
      <selection activeCell="H55" sqref="H55"/>
      <selection pane="topRight" activeCell="H55" sqref="H55"/>
      <selection pane="bottomLeft" activeCell="H55" sqref="H55"/>
      <selection pane="bottomRight" activeCell="E25" sqref="E25"/>
    </sheetView>
  </sheetViews>
  <sheetFormatPr defaultColWidth="9.21875" defaultRowHeight="13.2" x14ac:dyDescent="0.25"/>
  <cols>
    <col min="1" max="1" width="1.44140625" style="1" customWidth="1"/>
    <col min="2" max="2" width="71.21875" style="1" customWidth="1"/>
    <col min="3" max="3" width="17.5546875" style="24" customWidth="1"/>
    <col min="4" max="6" width="13" style="1" customWidth="1"/>
    <col min="7" max="16384" width="9.21875" style="1"/>
  </cols>
  <sheetData>
    <row r="1" spans="2:6" ht="17.399999999999999" x14ac:dyDescent="0.3">
      <c r="B1" s="3" t="s">
        <v>0</v>
      </c>
      <c r="C1" s="21"/>
    </row>
    <row r="2" spans="2:6" ht="15.6" x14ac:dyDescent="0.3">
      <c r="B2" s="4" t="s">
        <v>225</v>
      </c>
      <c r="C2" s="22"/>
    </row>
    <row r="4" spans="2:6" x14ac:dyDescent="0.25">
      <c r="B4" s="2" t="s">
        <v>1</v>
      </c>
      <c r="C4" s="23" t="s">
        <v>2</v>
      </c>
      <c r="D4" s="5" t="s">
        <v>233</v>
      </c>
      <c r="E4" s="5" t="s">
        <v>234</v>
      </c>
      <c r="F4" s="5" t="s">
        <v>235</v>
      </c>
    </row>
    <row r="5" spans="2:6" x14ac:dyDescent="0.25">
      <c r="B5" s="2"/>
      <c r="C5" s="23"/>
      <c r="D5" s="5"/>
      <c r="E5" s="5"/>
      <c r="F5" s="5"/>
    </row>
    <row r="6" spans="2:6" x14ac:dyDescent="0.25">
      <c r="B6" s="39" t="s">
        <v>27</v>
      </c>
    </row>
    <row r="7" spans="2:6" x14ac:dyDescent="0.25">
      <c r="B7" s="1" t="s">
        <v>29</v>
      </c>
      <c r="C7" s="24" t="s">
        <v>25</v>
      </c>
      <c r="D7" s="35">
        <v>12.85</v>
      </c>
      <c r="E7" s="35">
        <v>14.2</v>
      </c>
      <c r="F7" s="35">
        <v>15.69</v>
      </c>
    </row>
    <row r="8" spans="2:6" x14ac:dyDescent="0.25">
      <c r="B8" s="1" t="s">
        <v>26</v>
      </c>
      <c r="C8" s="24" t="s">
        <v>24</v>
      </c>
      <c r="D8" s="35">
        <v>63.62</v>
      </c>
      <c r="E8" s="35">
        <v>68.63</v>
      </c>
      <c r="F8" s="35">
        <v>51.22</v>
      </c>
    </row>
    <row r="9" spans="2:6" s="116" customFormat="1" x14ac:dyDescent="0.25">
      <c r="B9" s="116" t="s">
        <v>242</v>
      </c>
      <c r="C9" s="117" t="s">
        <v>102</v>
      </c>
      <c r="D9" s="118">
        <f t="shared" ref="D9:E9" si="0">D7*D8</f>
        <v>817.51699999999994</v>
      </c>
      <c r="E9" s="118">
        <f t="shared" si="0"/>
        <v>974.54599999999994</v>
      </c>
      <c r="F9" s="118">
        <f>F7*F8</f>
        <v>803.64179999999999</v>
      </c>
    </row>
    <row r="10" spans="2:6" x14ac:dyDescent="0.25">
      <c r="D10" s="12"/>
      <c r="E10" s="12"/>
      <c r="F10" s="12"/>
    </row>
    <row r="11" spans="2:6" x14ac:dyDescent="0.25">
      <c r="B11" s="39" t="s">
        <v>28</v>
      </c>
      <c r="D11" s="12"/>
      <c r="E11" s="12"/>
      <c r="F11" s="12"/>
    </row>
    <row r="12" spans="2:6" x14ac:dyDescent="0.25">
      <c r="B12" s="1" t="s">
        <v>403</v>
      </c>
      <c r="C12" s="24" t="s">
        <v>404</v>
      </c>
      <c r="D12" s="35">
        <v>15.34</v>
      </c>
      <c r="E12" s="35">
        <v>16.190000000000001</v>
      </c>
      <c r="F12" s="35">
        <v>17.34</v>
      </c>
    </row>
    <row r="13" spans="2:6" x14ac:dyDescent="0.25">
      <c r="B13" s="2"/>
      <c r="D13" s="12"/>
      <c r="E13" s="12"/>
      <c r="F13" s="12"/>
    </row>
    <row r="14" spans="2:6" x14ac:dyDescent="0.25">
      <c r="B14" s="58" t="s">
        <v>128</v>
      </c>
      <c r="D14" s="12"/>
      <c r="E14" s="12"/>
      <c r="F14" s="12"/>
    </row>
    <row r="15" spans="2:6" x14ac:dyDescent="0.25">
      <c r="B15" s="1" t="s">
        <v>32</v>
      </c>
      <c r="C15" s="24" t="s">
        <v>33</v>
      </c>
      <c r="D15" s="114"/>
      <c r="E15" s="146">
        <v>86.61</v>
      </c>
      <c r="F15" s="146">
        <v>67.53</v>
      </c>
    </row>
    <row r="16" spans="2:6" x14ac:dyDescent="0.25">
      <c r="B16" s="1" t="s">
        <v>367</v>
      </c>
      <c r="C16" s="24" t="s">
        <v>40</v>
      </c>
      <c r="D16" s="160"/>
      <c r="E16" s="90">
        <v>0.05</v>
      </c>
      <c r="F16" s="90">
        <v>0.15</v>
      </c>
    </row>
    <row r="17" spans="2:6" x14ac:dyDescent="0.25">
      <c r="D17" s="11"/>
      <c r="E17" s="49"/>
      <c r="F17" s="49"/>
    </row>
    <row r="18" spans="2:6" x14ac:dyDescent="0.25">
      <c r="B18" s="58" t="s">
        <v>127</v>
      </c>
      <c r="D18" s="10"/>
      <c r="E18" s="10"/>
      <c r="F18" s="10"/>
    </row>
    <row r="19" spans="2:6" x14ac:dyDescent="0.25">
      <c r="B19" s="1" t="s">
        <v>240</v>
      </c>
      <c r="C19" s="24" t="s">
        <v>241</v>
      </c>
      <c r="D19" s="35"/>
      <c r="E19" s="35">
        <v>31.92</v>
      </c>
      <c r="F19" s="35">
        <v>17.23</v>
      </c>
    </row>
    <row r="20" spans="2:6" x14ac:dyDescent="0.25">
      <c r="B20" s="1" t="s">
        <v>30</v>
      </c>
      <c r="C20" s="24" t="s">
        <v>31</v>
      </c>
      <c r="D20" s="124"/>
      <c r="E20" s="124">
        <v>3.05</v>
      </c>
      <c r="F20" s="124">
        <v>2.1</v>
      </c>
    </row>
    <row r="21" spans="2:6" x14ac:dyDescent="0.25">
      <c r="B21" s="1" t="s">
        <v>73</v>
      </c>
      <c r="C21" s="24" t="s">
        <v>40</v>
      </c>
      <c r="D21" s="115"/>
      <c r="E21" s="125">
        <v>0.7</v>
      </c>
      <c r="F21" s="125">
        <v>0.47</v>
      </c>
    </row>
    <row r="22" spans="2:6" x14ac:dyDescent="0.25">
      <c r="B22" s="1" t="s">
        <v>136</v>
      </c>
      <c r="C22" s="24" t="s">
        <v>24</v>
      </c>
      <c r="D22" s="113"/>
      <c r="E22" s="145">
        <f>-25%*(E8+E27)</f>
        <v>-16.907499999999999</v>
      </c>
      <c r="F22" s="145">
        <f>-25%*(F8+F27)</f>
        <v>-12.805</v>
      </c>
    </row>
    <row r="23" spans="2:6" x14ac:dyDescent="0.25">
      <c r="D23" s="32"/>
      <c r="E23" s="32"/>
      <c r="F23" s="32"/>
    </row>
    <row r="24" spans="2:6" x14ac:dyDescent="0.25">
      <c r="B24" s="58" t="s">
        <v>260</v>
      </c>
      <c r="D24" s="32"/>
      <c r="E24" s="32"/>
      <c r="F24" s="32"/>
    </row>
    <row r="25" spans="2:6" x14ac:dyDescent="0.25">
      <c r="B25" s="1" t="s">
        <v>81</v>
      </c>
      <c r="C25" s="24" t="s">
        <v>24</v>
      </c>
      <c r="D25" s="104"/>
      <c r="E25" s="104">
        <v>-32</v>
      </c>
      <c r="F25" s="145">
        <v>-25</v>
      </c>
    </row>
    <row r="26" spans="2:6" x14ac:dyDescent="0.25">
      <c r="B26" s="1" t="s">
        <v>82</v>
      </c>
      <c r="C26" s="24" t="s">
        <v>24</v>
      </c>
      <c r="D26" s="104"/>
      <c r="E26" s="104">
        <v>0</v>
      </c>
      <c r="F26" s="104"/>
    </row>
    <row r="27" spans="2:6" x14ac:dyDescent="0.25">
      <c r="B27" s="1" t="s">
        <v>129</v>
      </c>
      <c r="C27" s="24" t="s">
        <v>24</v>
      </c>
      <c r="D27" s="113"/>
      <c r="E27" s="145">
        <v>-1</v>
      </c>
      <c r="F27" s="145">
        <v>0</v>
      </c>
    </row>
    <row r="28" spans="2:6" x14ac:dyDescent="0.25">
      <c r="B28" s="1" t="s">
        <v>130</v>
      </c>
      <c r="C28" s="24" t="s">
        <v>24</v>
      </c>
      <c r="D28" s="113"/>
      <c r="E28" s="145">
        <v>16</v>
      </c>
      <c r="F28" s="145">
        <v>16</v>
      </c>
    </row>
    <row r="29" spans="2:6" x14ac:dyDescent="0.25">
      <c r="B29" s="1" t="s">
        <v>78</v>
      </c>
      <c r="C29" s="24" t="s">
        <v>24</v>
      </c>
      <c r="D29" s="113"/>
      <c r="E29" s="145">
        <v>0.5</v>
      </c>
      <c r="F29" s="145">
        <v>0.5</v>
      </c>
    </row>
    <row r="30" spans="2:6" x14ac:dyDescent="0.25">
      <c r="B30" s="1" t="s">
        <v>105</v>
      </c>
      <c r="C30" s="24" t="s">
        <v>24</v>
      </c>
      <c r="D30" s="104"/>
      <c r="E30" s="104">
        <f>3+4.5</f>
        <v>7.5</v>
      </c>
      <c r="F30" s="104">
        <f>13+3+4.5</f>
        <v>20.5</v>
      </c>
    </row>
    <row r="31" spans="2:6" x14ac:dyDescent="0.25">
      <c r="B31" s="1" t="s">
        <v>84</v>
      </c>
      <c r="C31" s="24" t="s">
        <v>24</v>
      </c>
      <c r="D31" s="113"/>
      <c r="E31" s="145">
        <v>17.670000000000002</v>
      </c>
      <c r="F31" s="145">
        <v>16.02</v>
      </c>
    </row>
    <row r="32" spans="2:6" x14ac:dyDescent="0.25">
      <c r="B32" s="1" t="s">
        <v>85</v>
      </c>
      <c r="C32" s="24" t="s">
        <v>24</v>
      </c>
      <c r="D32" s="113"/>
      <c r="E32" s="145">
        <v>10.01</v>
      </c>
      <c r="F32" s="145">
        <v>10.65</v>
      </c>
    </row>
    <row r="33" spans="2:6" x14ac:dyDescent="0.25">
      <c r="B33" s="1" t="s">
        <v>139</v>
      </c>
      <c r="C33" s="24" t="s">
        <v>24</v>
      </c>
      <c r="D33" s="113"/>
      <c r="E33" s="104">
        <f>1.98*158.9/E7</f>
        <v>22.15647887323944</v>
      </c>
      <c r="F33" s="104">
        <f>2.11*158.9/F7</f>
        <v>21.368961121733587</v>
      </c>
    </row>
    <row r="34" spans="2:6" x14ac:dyDescent="0.25">
      <c r="B34" s="1" t="s">
        <v>88</v>
      </c>
      <c r="C34" s="24" t="s">
        <v>24</v>
      </c>
      <c r="D34" s="113"/>
      <c r="E34" s="145">
        <f>0%*E8</f>
        <v>0</v>
      </c>
      <c r="F34" s="145">
        <f>0%*F8</f>
        <v>0</v>
      </c>
    </row>
    <row r="35" spans="2:6" x14ac:dyDescent="0.25">
      <c r="B35" s="1" t="s">
        <v>135</v>
      </c>
      <c r="C35" s="24" t="s">
        <v>24</v>
      </c>
      <c r="D35" s="113"/>
      <c r="E35" s="145">
        <f>-5%*(E27+E8)</f>
        <v>-3.3815</v>
      </c>
      <c r="F35" s="145">
        <f>0%*(F27+F8)</f>
        <v>0</v>
      </c>
    </row>
    <row r="36" spans="2:6" x14ac:dyDescent="0.25">
      <c r="B36" s="9"/>
      <c r="D36" s="12"/>
      <c r="E36" s="12"/>
      <c r="F36" s="12"/>
    </row>
    <row r="37" spans="2:6" x14ac:dyDescent="0.25">
      <c r="B37" s="58" t="s">
        <v>254</v>
      </c>
    </row>
    <row r="38" spans="2:6" x14ac:dyDescent="0.25">
      <c r="B38" s="1" t="s">
        <v>99</v>
      </c>
      <c r="C38" s="24" t="s">
        <v>40</v>
      </c>
      <c r="D38" s="32"/>
      <c r="E38" s="32"/>
      <c r="F38" s="32"/>
    </row>
    <row r="39" spans="2:6" x14ac:dyDescent="0.25">
      <c r="B39" s="1" t="s">
        <v>32</v>
      </c>
      <c r="C39" s="24" t="s">
        <v>45</v>
      </c>
      <c r="D39" s="12">
        <f>D7*D15</f>
        <v>0</v>
      </c>
      <c r="E39" s="12">
        <f>E7*E15</f>
        <v>1229.8619999999999</v>
      </c>
      <c r="F39" s="12">
        <f>F7*F15</f>
        <v>1059.5456999999999</v>
      </c>
    </row>
    <row r="40" spans="2:6" x14ac:dyDescent="0.25">
      <c r="B40" s="9" t="s">
        <v>100</v>
      </c>
      <c r="D40" s="32"/>
      <c r="E40" s="32"/>
      <c r="F40" s="32">
        <f t="shared" ref="F40" si="1">F39/E39-1</f>
        <v>-0.13848407382291672</v>
      </c>
    </row>
    <row r="41" spans="2:6" x14ac:dyDescent="0.25">
      <c r="B41" s="1" t="s">
        <v>101</v>
      </c>
      <c r="C41" s="24" t="s">
        <v>102</v>
      </c>
      <c r="D41" s="12">
        <f>D7*D8</f>
        <v>817.51699999999994</v>
      </c>
      <c r="E41" s="12">
        <f>E7*E8</f>
        <v>974.54599999999994</v>
      </c>
      <c r="F41" s="12">
        <f>F7*F8</f>
        <v>803.64179999999999</v>
      </c>
    </row>
    <row r="42" spans="2:6" x14ac:dyDescent="0.25">
      <c r="B42" s="9" t="s">
        <v>100</v>
      </c>
      <c r="D42" s="32"/>
      <c r="E42" s="32">
        <f t="shared" ref="E42:F42" si="2">E41/D41-1</f>
        <v>0.19208040933705361</v>
      </c>
      <c r="F42" s="32">
        <f t="shared" si="2"/>
        <v>-0.17536801751790065</v>
      </c>
    </row>
    <row r="43" spans="2:6" x14ac:dyDescent="0.25">
      <c r="B43" s="9"/>
      <c r="D43" s="32"/>
      <c r="E43" s="32"/>
      <c r="F43" s="32"/>
    </row>
    <row r="44" spans="2:6" x14ac:dyDescent="0.25">
      <c r="B44" s="58" t="s">
        <v>134</v>
      </c>
      <c r="D44" s="32"/>
      <c r="E44" s="32"/>
      <c r="F44" s="32"/>
    </row>
    <row r="45" spans="2:6" x14ac:dyDescent="0.25">
      <c r="B45" s="9" t="s">
        <v>251</v>
      </c>
      <c r="C45" s="24" t="s">
        <v>40</v>
      </c>
      <c r="D45" s="32">
        <v>0.05</v>
      </c>
      <c r="E45" s="32">
        <v>0.05</v>
      </c>
      <c r="F45" s="32">
        <v>0.05</v>
      </c>
    </row>
    <row r="46" spans="2:6" x14ac:dyDescent="0.25">
      <c r="B46" s="9" t="s">
        <v>253</v>
      </c>
      <c r="C46" s="24" t="s">
        <v>40</v>
      </c>
      <c r="D46" s="32"/>
      <c r="E46" s="32"/>
      <c r="F46" s="32"/>
    </row>
    <row r="47" spans="2:6" x14ac:dyDescent="0.25">
      <c r="B47" s="9" t="s">
        <v>252</v>
      </c>
      <c r="C47" s="24" t="s">
        <v>40</v>
      </c>
      <c r="D47" s="32">
        <v>0.02</v>
      </c>
      <c r="E47" s="32">
        <v>0.02</v>
      </c>
      <c r="F47" s="32">
        <v>0.02</v>
      </c>
    </row>
    <row r="49" spans="2:6" x14ac:dyDescent="0.25">
      <c r="B49" s="39" t="s">
        <v>79</v>
      </c>
    </row>
    <row r="50" spans="2:6" x14ac:dyDescent="0.25">
      <c r="B50" s="1" t="s">
        <v>201</v>
      </c>
      <c r="C50" s="24" t="s">
        <v>80</v>
      </c>
      <c r="D50" s="104">
        <v>1</v>
      </c>
      <c r="E50" s="104">
        <f t="shared" ref="E50:F50" si="3">D50</f>
        <v>1</v>
      </c>
      <c r="F50" s="104">
        <f t="shared" si="3"/>
        <v>1</v>
      </c>
    </row>
    <row r="51" spans="2:6" x14ac:dyDescent="0.25">
      <c r="B51" s="1" t="s">
        <v>301</v>
      </c>
      <c r="C51" s="24" t="s">
        <v>256</v>
      </c>
      <c r="D51" s="123">
        <v>2205</v>
      </c>
      <c r="E51" s="123">
        <v>2205</v>
      </c>
      <c r="F51" s="123">
        <v>2205</v>
      </c>
    </row>
    <row r="52" spans="2:6" x14ac:dyDescent="0.25">
      <c r="B52" s="1" t="s">
        <v>255</v>
      </c>
      <c r="C52" s="24" t="s">
        <v>257</v>
      </c>
      <c r="D52" s="123">
        <v>742</v>
      </c>
      <c r="E52" s="123">
        <v>742</v>
      </c>
      <c r="F52" s="123">
        <v>742</v>
      </c>
    </row>
    <row r="53" spans="2:6" x14ac:dyDescent="0.25">
      <c r="B53" s="1" t="s">
        <v>259</v>
      </c>
      <c r="C53" s="24" t="s">
        <v>258</v>
      </c>
      <c r="D53" s="123">
        <v>42</v>
      </c>
      <c r="E53" s="123">
        <v>42</v>
      </c>
      <c r="F53" s="123">
        <v>42</v>
      </c>
    </row>
    <row r="54" spans="2:6" x14ac:dyDescent="0.25">
      <c r="B54" s="1" t="s">
        <v>303</v>
      </c>
      <c r="C54" s="24" t="s">
        <v>302</v>
      </c>
      <c r="D54" s="107">
        <v>158.9</v>
      </c>
      <c r="E54" s="107">
        <v>158.9</v>
      </c>
      <c r="F54" s="107">
        <v>158.9</v>
      </c>
    </row>
  </sheetData>
  <pageMargins left="0.7" right="0.7" top="0.75" bottom="0.75" header="0.3" footer="0.3"/>
  <pageSetup paperSize="9" scale="2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E19"/>
  <sheetViews>
    <sheetView view="pageBreakPreview" zoomScale="80" zoomScaleNormal="80" zoomScaleSheetLayoutView="80" workbookViewId="0">
      <pane xSplit="3" ySplit="4" topLeftCell="D5" activePane="bottomRight" state="frozen"/>
      <selection activeCell="G54" sqref="G54"/>
      <selection pane="topRight" activeCell="G54" sqref="G54"/>
      <selection pane="bottomLeft" activeCell="G54" sqref="G54"/>
      <selection pane="bottomRight" activeCell="B4" sqref="B4"/>
    </sheetView>
  </sheetViews>
  <sheetFormatPr defaultColWidth="9.21875" defaultRowHeight="13.2"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247</v>
      </c>
      <c r="C4" s="23" t="s">
        <v>2</v>
      </c>
      <c r="D4" s="5" t="s">
        <v>234</v>
      </c>
      <c r="E4" s="5" t="s">
        <v>235</v>
      </c>
    </row>
    <row r="5" spans="2:5" x14ac:dyDescent="0.25">
      <c r="D5" s="12"/>
      <c r="E5" s="12"/>
    </row>
    <row r="6" spans="2:5" x14ac:dyDescent="0.25">
      <c r="B6" s="39" t="s">
        <v>247</v>
      </c>
      <c r="D6" s="12"/>
      <c r="E6" s="12"/>
    </row>
    <row r="7" spans="2:5" x14ac:dyDescent="0.25">
      <c r="B7" s="9" t="str">
        <f>Mining!B4</f>
        <v>Mining</v>
      </c>
      <c r="C7" s="24" t="s">
        <v>37</v>
      </c>
      <c r="D7" s="12">
        <f>Mining!D19</f>
        <v>1797</v>
      </c>
      <c r="E7" s="12">
        <f>Mining!E19</f>
        <v>2066</v>
      </c>
    </row>
    <row r="8" spans="2:5" x14ac:dyDescent="0.25">
      <c r="B8" s="9" t="str">
        <f>Gas!B4</f>
        <v>Gas</v>
      </c>
      <c r="C8" s="24" t="s">
        <v>37</v>
      </c>
      <c r="D8" s="12">
        <f>Gas!D19</f>
        <v>2059</v>
      </c>
      <c r="E8" s="12">
        <f>Gas!E19</f>
        <v>1803</v>
      </c>
    </row>
    <row r="9" spans="2:5" x14ac:dyDescent="0.25">
      <c r="B9" s="9" t="str">
        <f>Fuels!B4</f>
        <v>Fuels</v>
      </c>
      <c r="C9" s="24" t="s">
        <v>37</v>
      </c>
      <c r="D9" s="12">
        <f>Fuels!D19</f>
        <v>4804</v>
      </c>
      <c r="E9" s="12">
        <f>Fuels!E19</f>
        <v>4604</v>
      </c>
    </row>
    <row r="10" spans="2:5" x14ac:dyDescent="0.25">
      <c r="B10" s="9" t="str">
        <f>'Chemicals Africa'!B4</f>
        <v>Chemicals Africa</v>
      </c>
      <c r="C10" s="24" t="s">
        <v>37</v>
      </c>
      <c r="D10" s="12">
        <f>'Chemicals Africa'!D19</f>
        <v>5694</v>
      </c>
      <c r="E10" s="12">
        <f>'Chemicals Africa'!E19</f>
        <v>5034</v>
      </c>
    </row>
    <row r="11" spans="2:5" s="72" customFormat="1" x14ac:dyDescent="0.25">
      <c r="B11" s="9" t="str">
        <f>'Chemicals America'!B4</f>
        <v>Chemicals America</v>
      </c>
      <c r="C11" s="24" t="s">
        <v>37</v>
      </c>
      <c r="D11" s="12">
        <f>'Chemicals America'!D19</f>
        <v>1503</v>
      </c>
      <c r="E11" s="12">
        <f>'Chemicals America'!E19</f>
        <v>4415</v>
      </c>
    </row>
    <row r="12" spans="2:5" x14ac:dyDescent="0.25">
      <c r="B12" s="9" t="str">
        <f>'Chemicals Eurasia'!B4</f>
        <v>Chemicals Eurasia</v>
      </c>
      <c r="C12" s="24" t="s">
        <v>37</v>
      </c>
      <c r="D12" s="12">
        <f>'Chemicals Eurasia'!D19</f>
        <v>1171</v>
      </c>
      <c r="E12" s="12">
        <f>'Chemicals Eurasia'!E19</f>
        <v>1380</v>
      </c>
    </row>
    <row r="13" spans="2:5" x14ac:dyDescent="0.25">
      <c r="B13" s="9" t="str">
        <f>Corp!B4</f>
        <v>Corporate Centre</v>
      </c>
      <c r="C13" s="24" t="s">
        <v>37</v>
      </c>
      <c r="D13" s="12">
        <f>Corp!D19</f>
        <v>507</v>
      </c>
      <c r="E13" s="12">
        <f>Corp!E19</f>
        <v>526</v>
      </c>
    </row>
    <row r="14" spans="2:5" s="72" customFormat="1" ht="13.8" thickBot="1" x14ac:dyDescent="0.3">
      <c r="B14" s="133" t="s">
        <v>170</v>
      </c>
      <c r="C14" s="134" t="s">
        <v>37</v>
      </c>
      <c r="D14" s="135">
        <f>SUM(D7:D13)</f>
        <v>17535</v>
      </c>
      <c r="E14" s="135">
        <f>SUM(E7:E13)</f>
        <v>19828</v>
      </c>
    </row>
    <row r="15" spans="2:5" x14ac:dyDescent="0.25">
      <c r="B15" s="116" t="s">
        <v>169</v>
      </c>
      <c r="D15" s="31">
        <f>D14-Financials!D51</f>
        <v>0</v>
      </c>
      <c r="E15" s="31">
        <f>E14-Financials!E51</f>
        <v>0</v>
      </c>
    </row>
    <row r="16" spans="2:5" x14ac:dyDescent="0.25">
      <c r="D16" s="31"/>
      <c r="E16" s="31"/>
    </row>
    <row r="17" spans="2:5" x14ac:dyDescent="0.25">
      <c r="B17" s="1" t="s">
        <v>248</v>
      </c>
      <c r="C17" s="24" t="s">
        <v>37</v>
      </c>
      <c r="D17" s="12">
        <f>Financials!D19</f>
        <v>203576</v>
      </c>
      <c r="E17" s="12">
        <f>Financials!E19</f>
        <v>190367</v>
      </c>
    </row>
    <row r="18" spans="2:5" x14ac:dyDescent="0.25">
      <c r="D18" s="12"/>
      <c r="E18" s="12"/>
    </row>
    <row r="19" spans="2:5" x14ac:dyDescent="0.25">
      <c r="B19" s="1" t="s">
        <v>266</v>
      </c>
      <c r="C19" s="24" t="s">
        <v>40</v>
      </c>
      <c r="D19" s="32">
        <f>SUM(D7:D10,D12,D13:D13)/D17</f>
        <v>7.8751915746453419E-2</v>
      </c>
      <c r="E19" s="32">
        <f>SUM(E7:E10,E12,E13:E13)/E17</f>
        <v>8.0964662993060765E-2</v>
      </c>
    </row>
  </sheetData>
  <pageMargins left="0.7" right="0.7" top="0.75" bottom="0.75" header="0.3" footer="0.3"/>
  <pageSetup paperSize="9" scale="3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G141"/>
  <sheetViews>
    <sheetView view="pageBreakPreview" zoomScale="80" zoomScaleNormal="80" zoomScaleSheetLayoutView="80" workbookViewId="0">
      <pane xSplit="3" ySplit="4" topLeftCell="D5" activePane="bottomRight" state="frozen"/>
      <selection activeCell="G54" sqref="G54"/>
      <selection pane="topRight" activeCell="G54" sqref="G54"/>
      <selection pane="bottomLeft" activeCell="G54" sqref="G54"/>
      <selection pane="bottomRight" activeCell="B4" sqref="B4"/>
    </sheetView>
  </sheetViews>
  <sheetFormatPr defaultColWidth="9.21875" defaultRowHeight="13.2" outlineLevelRow="1"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143</v>
      </c>
      <c r="C4" s="23" t="s">
        <v>2</v>
      </c>
      <c r="D4" s="5" t="s">
        <v>234</v>
      </c>
      <c r="E4" s="5" t="s">
        <v>235</v>
      </c>
    </row>
    <row r="5" spans="2:5" x14ac:dyDescent="0.25">
      <c r="B5" s="2"/>
      <c r="C5" s="172"/>
      <c r="D5" s="173"/>
      <c r="E5" s="173"/>
    </row>
    <row r="6" spans="2:5" x14ac:dyDescent="0.25">
      <c r="B6" s="39" t="s">
        <v>4</v>
      </c>
      <c r="D6" s="12"/>
      <c r="E6" s="12"/>
    </row>
    <row r="7" spans="2:5" hidden="1" outlineLevel="1" x14ac:dyDescent="0.25">
      <c r="B7" s="43" t="s">
        <v>182</v>
      </c>
      <c r="D7" s="12"/>
      <c r="E7" s="12"/>
    </row>
    <row r="8" spans="2:5" hidden="1" outlineLevel="1" x14ac:dyDescent="0.25">
      <c r="B8" s="9" t="str">
        <f>Mining!B4</f>
        <v>Mining</v>
      </c>
      <c r="C8" s="24" t="s">
        <v>37</v>
      </c>
      <c r="D8" s="12">
        <f>Mining!D7</f>
        <v>20876</v>
      </c>
      <c r="E8" s="12">
        <f>Mining!E7</f>
        <v>19891</v>
      </c>
    </row>
    <row r="9" spans="2:5" hidden="1" outlineLevel="1" x14ac:dyDescent="0.25">
      <c r="B9" s="9" t="str">
        <f>Gas!B4</f>
        <v>Gas</v>
      </c>
      <c r="C9" s="24" t="s">
        <v>37</v>
      </c>
      <c r="D9" s="12">
        <f>Gas!D7</f>
        <v>12665</v>
      </c>
      <c r="E9" s="12">
        <f>Gas!E7</f>
        <v>12419</v>
      </c>
    </row>
    <row r="10" spans="2:5" hidden="1" outlineLevel="1" x14ac:dyDescent="0.25">
      <c r="B10" s="9" t="str">
        <f>Fuels!B4</f>
        <v>Fuels</v>
      </c>
      <c r="C10" s="24" t="s">
        <v>37</v>
      </c>
      <c r="D10" s="12">
        <f>Fuels!D7</f>
        <v>78624</v>
      </c>
      <c r="E10" s="12">
        <f>Fuels!E7</f>
        <v>62553</v>
      </c>
    </row>
    <row r="11" spans="2:5" s="116" customFormat="1" hidden="1" outlineLevel="1" x14ac:dyDescent="0.25">
      <c r="B11" s="120" t="s">
        <v>183</v>
      </c>
      <c r="C11" s="117" t="s">
        <v>37</v>
      </c>
      <c r="D11" s="118">
        <f>Fuels!D175</f>
        <v>9977</v>
      </c>
      <c r="E11" s="118">
        <f>Fuels!E175</f>
        <v>7279</v>
      </c>
    </row>
    <row r="12" spans="2:5" hidden="1" outlineLevel="1" x14ac:dyDescent="0.25">
      <c r="B12" s="9" t="str">
        <f>'Chemicals Africa'!B4</f>
        <v>Chemicals Africa</v>
      </c>
      <c r="C12" s="24" t="s">
        <v>37</v>
      </c>
      <c r="D12" s="12">
        <f>'Chemicals Africa'!D7</f>
        <v>54817</v>
      </c>
      <c r="E12" s="12">
        <f>'Chemicals Africa'!E7</f>
        <v>54310</v>
      </c>
    </row>
    <row r="13" spans="2:5" hidden="1" outlineLevel="1" x14ac:dyDescent="0.25">
      <c r="B13" s="9" t="str">
        <f>'Chemicals America'!B4</f>
        <v>Chemicals America</v>
      </c>
      <c r="C13" s="24" t="s">
        <v>37</v>
      </c>
      <c r="D13" s="12">
        <f>'Chemicals America'!D7</f>
        <v>21424</v>
      </c>
      <c r="E13" s="12">
        <f>'Chemicals America'!E7</f>
        <v>28809</v>
      </c>
    </row>
    <row r="14" spans="2:5" hidden="1" outlineLevel="1" x14ac:dyDescent="0.25">
      <c r="B14" s="9" t="str">
        <f>'Chemicals Eurasia'!B4</f>
        <v>Chemicals Eurasia</v>
      </c>
      <c r="C14" s="24" t="s">
        <v>37</v>
      </c>
      <c r="D14" s="12">
        <f>'Chemicals Eurasia'!D7</f>
        <v>41423</v>
      </c>
      <c r="E14" s="12">
        <f>'Chemicals Eurasia'!E7</f>
        <v>39989</v>
      </c>
    </row>
    <row r="15" spans="2:5" hidden="1" outlineLevel="1" x14ac:dyDescent="0.25">
      <c r="B15" s="9" t="str">
        <f>Corp!B4</f>
        <v>Corporate Centre</v>
      </c>
      <c r="C15" s="24" t="s">
        <v>37</v>
      </c>
      <c r="D15" s="12">
        <f>Corp!D7</f>
        <v>78</v>
      </c>
      <c r="E15" s="12">
        <f>Corp!E7</f>
        <v>30</v>
      </c>
    </row>
    <row r="16" spans="2:5" hidden="1" outlineLevel="1" x14ac:dyDescent="0.25">
      <c r="B16" s="9" t="s">
        <v>169</v>
      </c>
      <c r="C16" s="24" t="s">
        <v>37</v>
      </c>
      <c r="D16" s="12">
        <f>SUM(D8:D10,D12:D15)-D18</f>
        <v>0</v>
      </c>
      <c r="E16" s="12">
        <f>SUM(E8:E10,E12:E15)-E18</f>
        <v>0</v>
      </c>
    </row>
    <row r="17" spans="2:5" hidden="1" outlineLevel="1" x14ac:dyDescent="0.25">
      <c r="B17" s="9"/>
      <c r="D17" s="12"/>
      <c r="E17" s="12"/>
    </row>
    <row r="18" spans="2:5" s="2" customFormat="1" collapsed="1" x14ac:dyDescent="0.25">
      <c r="B18" s="2" t="s">
        <v>5</v>
      </c>
      <c r="C18" s="25" t="s">
        <v>37</v>
      </c>
      <c r="D18" s="18">
        <f t="shared" ref="D18:E18" si="0">SUM(D19:D20)</f>
        <v>229907</v>
      </c>
      <c r="E18" s="18">
        <f t="shared" si="0"/>
        <v>218001</v>
      </c>
    </row>
    <row r="19" spans="2:5" x14ac:dyDescent="0.25">
      <c r="B19" s="13" t="s">
        <v>7</v>
      </c>
      <c r="C19" s="26" t="s">
        <v>37</v>
      </c>
      <c r="D19" s="14">
        <f>SUM(Mining!D8,Gas!D8,Fuels!D8,'Chemicals Africa'!D8,'Chemicals America'!D8,'Chemicals Eurasia'!D8,Corp!D8)</f>
        <v>203576</v>
      </c>
      <c r="E19" s="14">
        <f>SUM(Mining!E8,Gas!E8,Fuels!E8,'Chemicals Africa'!E8,'Chemicals America'!E8,'Chemicals Eurasia'!E8,Corp!E8)</f>
        <v>190367</v>
      </c>
    </row>
    <row r="20" spans="2:5" x14ac:dyDescent="0.25">
      <c r="B20" s="15" t="s">
        <v>11</v>
      </c>
      <c r="C20" s="27" t="s">
        <v>37</v>
      </c>
      <c r="D20" s="17">
        <f>SUM(Mining!D9,Gas!D9,Fuels!D9,'Chemicals Africa'!D9,'Chemicals America'!D9,'Chemicals Eurasia'!D9,Corp!D9)</f>
        <v>26331</v>
      </c>
      <c r="E20" s="17">
        <f>SUM(Mining!E9,Gas!E9,Fuels!E9,'Chemicals Africa'!E9,'Chemicals America'!E9,'Chemicals Eurasia'!E9,Corp!E9)</f>
        <v>27634</v>
      </c>
    </row>
    <row r="21" spans="2:5" x14ac:dyDescent="0.25">
      <c r="B21" s="9"/>
      <c r="D21" s="12"/>
      <c r="E21" s="12"/>
    </row>
    <row r="22" spans="2:5" hidden="1" outlineLevel="1" x14ac:dyDescent="0.25">
      <c r="B22" s="43" t="s">
        <v>182</v>
      </c>
      <c r="D22" s="12"/>
      <c r="E22" s="12"/>
    </row>
    <row r="23" spans="2:5" hidden="1" outlineLevel="1" x14ac:dyDescent="0.25">
      <c r="B23" s="9" t="str">
        <f>Mining!B4</f>
        <v>Mining</v>
      </c>
      <c r="C23" s="24" t="s">
        <v>37</v>
      </c>
      <c r="D23" s="12">
        <f>Mining!D11</f>
        <v>4765</v>
      </c>
      <c r="E23" s="12">
        <f>Mining!E11</f>
        <v>2882</v>
      </c>
    </row>
    <row r="24" spans="2:5" s="72" customFormat="1" hidden="1" outlineLevel="1" x14ac:dyDescent="0.25">
      <c r="B24" s="69" t="s">
        <v>184</v>
      </c>
      <c r="C24" s="70" t="s">
        <v>40</v>
      </c>
      <c r="D24" s="71">
        <f>D23/D8</f>
        <v>0.2282525388005365</v>
      </c>
      <c r="E24" s="71">
        <f>E23/E8</f>
        <v>0.14488964858478709</v>
      </c>
    </row>
    <row r="25" spans="2:5" hidden="1" outlineLevel="1" x14ac:dyDescent="0.25">
      <c r="B25" s="9" t="str">
        <f>Gas!B4</f>
        <v>Gas</v>
      </c>
      <c r="C25" s="24" t="s">
        <v>37</v>
      </c>
      <c r="D25" s="12">
        <f>Gas!D11</f>
        <v>6010</v>
      </c>
      <c r="E25" s="12">
        <f>Gas!E11</f>
        <v>5959</v>
      </c>
    </row>
    <row r="26" spans="2:5" s="72" customFormat="1" hidden="1" outlineLevel="1" x14ac:dyDescent="0.25">
      <c r="B26" s="69" t="s">
        <v>184</v>
      </c>
      <c r="C26" s="70" t="s">
        <v>40</v>
      </c>
      <c r="D26" s="71">
        <f>D25/D9</f>
        <v>0.47453612317410188</v>
      </c>
      <c r="E26" s="71">
        <f>E25/E9</f>
        <v>0.47982929382397937</v>
      </c>
    </row>
    <row r="27" spans="2:5" hidden="1" outlineLevel="1" x14ac:dyDescent="0.25">
      <c r="B27" s="9" t="str">
        <f>Fuels!B4</f>
        <v>Fuels</v>
      </c>
      <c r="C27" s="24" t="s">
        <v>37</v>
      </c>
      <c r="D27" s="12">
        <f>Fuels!D11</f>
        <v>10640</v>
      </c>
      <c r="E27" s="12">
        <f>Fuels!E11</f>
        <v>1187</v>
      </c>
    </row>
    <row r="28" spans="2:5" s="72" customFormat="1" hidden="1" outlineLevel="1" x14ac:dyDescent="0.25">
      <c r="B28" s="69" t="s">
        <v>184</v>
      </c>
      <c r="C28" s="70" t="s">
        <v>40</v>
      </c>
      <c r="D28" s="71">
        <f>D27/D10</f>
        <v>0.13532763532763534</v>
      </c>
      <c r="E28" s="71">
        <f>E27/E10</f>
        <v>1.8975908429651654E-2</v>
      </c>
    </row>
    <row r="29" spans="2:5" s="116" customFormat="1" hidden="1" outlineLevel="1" x14ac:dyDescent="0.25">
      <c r="B29" s="120" t="s">
        <v>183</v>
      </c>
      <c r="C29" s="117" t="s">
        <v>37</v>
      </c>
      <c r="D29" s="118">
        <f>Fuels!D178</f>
        <v>3518</v>
      </c>
      <c r="E29" s="118">
        <f>Fuels!E178</f>
        <v>1148</v>
      </c>
    </row>
    <row r="30" spans="2:5" s="131" customFormat="1" hidden="1" outlineLevel="1" x14ac:dyDescent="0.25">
      <c r="B30" s="128" t="s">
        <v>184</v>
      </c>
      <c r="C30" s="129" t="s">
        <v>40</v>
      </c>
      <c r="D30" s="130">
        <f>D29/D11</f>
        <v>0.35261100531221812</v>
      </c>
      <c r="E30" s="130">
        <f>E29/E11</f>
        <v>0.15771397169940926</v>
      </c>
    </row>
    <row r="31" spans="2:5" hidden="1" outlineLevel="1" x14ac:dyDescent="0.25">
      <c r="B31" s="9" t="str">
        <f>'Chemicals Africa'!B4</f>
        <v>Chemicals Africa</v>
      </c>
      <c r="C31" s="24" t="s">
        <v>37</v>
      </c>
      <c r="D31" s="12">
        <f>'Chemicals Africa'!D11</f>
        <v>7262</v>
      </c>
      <c r="E31" s="12">
        <f>'Chemicals Africa'!E11</f>
        <v>5941</v>
      </c>
    </row>
    <row r="32" spans="2:5" s="72" customFormat="1" hidden="1" outlineLevel="1" x14ac:dyDescent="0.25">
      <c r="B32" s="69" t="s">
        <v>184</v>
      </c>
      <c r="C32" s="70" t="s">
        <v>40</v>
      </c>
      <c r="D32" s="71">
        <f>D31/D12</f>
        <v>0.13247715124870021</v>
      </c>
      <c r="E32" s="71">
        <f>E31/E12</f>
        <v>0.10939053581292579</v>
      </c>
    </row>
    <row r="33" spans="2:5" s="72" customFormat="1" hidden="1" outlineLevel="1" x14ac:dyDescent="0.25">
      <c r="B33" s="9" t="str">
        <f>'Chemicals America'!B4</f>
        <v>Chemicals America</v>
      </c>
      <c r="C33" s="24" t="s">
        <v>37</v>
      </c>
      <c r="D33" s="12">
        <f>'Chemicals America'!D11</f>
        <v>-1584</v>
      </c>
      <c r="E33" s="12">
        <f>'Chemicals America'!E11</f>
        <v>-4363</v>
      </c>
    </row>
    <row r="34" spans="2:5" s="72" customFormat="1" hidden="1" outlineLevel="1" x14ac:dyDescent="0.25">
      <c r="B34" s="69" t="s">
        <v>184</v>
      </c>
      <c r="C34" s="70"/>
      <c r="D34" s="71">
        <f>D33/D13</f>
        <v>-7.3935772964899185E-2</v>
      </c>
      <c r="E34" s="71">
        <f>E33/E13</f>
        <v>-0.1514457287653164</v>
      </c>
    </row>
    <row r="35" spans="2:5" hidden="1" outlineLevel="1" x14ac:dyDescent="0.25">
      <c r="B35" s="9" t="str">
        <f>'Chemicals Eurasia'!B4</f>
        <v>Chemicals Eurasia</v>
      </c>
      <c r="C35" s="24" t="s">
        <v>37</v>
      </c>
      <c r="D35" s="12">
        <f>'Chemicals Eurasia'!D11</f>
        <v>2872</v>
      </c>
      <c r="E35" s="12">
        <f>'Chemicals Eurasia'!E11</f>
        <v>1398</v>
      </c>
    </row>
    <row r="36" spans="2:5" s="72" customFormat="1" hidden="1" outlineLevel="1" x14ac:dyDescent="0.25">
      <c r="B36" s="69" t="s">
        <v>184</v>
      </c>
      <c r="C36" s="70" t="s">
        <v>40</v>
      </c>
      <c r="D36" s="71">
        <f>D35/D14</f>
        <v>6.9333462086280565E-2</v>
      </c>
      <c r="E36" s="71">
        <f>E35/E14</f>
        <v>3.4959613893820803E-2</v>
      </c>
    </row>
    <row r="37" spans="2:5" hidden="1" outlineLevel="1" x14ac:dyDescent="0.25">
      <c r="B37" s="9" t="str">
        <f>Corp!B4</f>
        <v>Corporate Centre</v>
      </c>
      <c r="C37" s="24" t="s">
        <v>37</v>
      </c>
      <c r="D37" s="12">
        <f>Corp!D11</f>
        <v>-3301</v>
      </c>
      <c r="E37" s="12">
        <f>Corp!E11</f>
        <v>-6311</v>
      </c>
    </row>
    <row r="38" spans="2:5" s="72" customFormat="1" hidden="1" outlineLevel="1" x14ac:dyDescent="0.25">
      <c r="B38" s="69" t="s">
        <v>184</v>
      </c>
      <c r="C38" s="70" t="s">
        <v>40</v>
      </c>
      <c r="D38" s="71">
        <f>D37/D15</f>
        <v>-42.320512820512818</v>
      </c>
      <c r="E38" s="71">
        <f>E37/E15</f>
        <v>-210.36666666666667</v>
      </c>
    </row>
    <row r="39" spans="2:5" s="72" customFormat="1" hidden="1" outlineLevel="1" x14ac:dyDescent="0.25">
      <c r="B39" s="69" t="s">
        <v>185</v>
      </c>
      <c r="C39" s="70" t="s">
        <v>40</v>
      </c>
      <c r="D39" s="71">
        <f>D43/D19</f>
        <v>0.13097811136872717</v>
      </c>
      <c r="E39" s="71">
        <f>E43/E19</f>
        <v>3.5158404555411388E-2</v>
      </c>
    </row>
    <row r="40" spans="2:5" s="72" customFormat="1" hidden="1" outlineLevel="1" x14ac:dyDescent="0.25">
      <c r="B40" s="69"/>
      <c r="C40" s="70"/>
      <c r="D40" s="71"/>
      <c r="E40" s="71"/>
    </row>
    <row r="41" spans="2:5" hidden="1" outlineLevel="1" x14ac:dyDescent="0.25">
      <c r="B41" s="9" t="s">
        <v>169</v>
      </c>
      <c r="C41" s="24" t="s">
        <v>37</v>
      </c>
      <c r="D41" s="12">
        <f>SUM(D23,D25,D27,D31,D33,D35,D37)-D43</f>
        <v>0</v>
      </c>
      <c r="E41" s="12">
        <f>SUM(E23,E25,E27,E31,E33,E35,E37)-E43</f>
        <v>0</v>
      </c>
    </row>
    <row r="42" spans="2:5" hidden="1" outlineLevel="1" x14ac:dyDescent="0.25">
      <c r="B42" s="9"/>
      <c r="D42" s="12"/>
      <c r="E42" s="12"/>
    </row>
    <row r="43" spans="2:5" collapsed="1" x14ac:dyDescent="0.25">
      <c r="B43" s="1" t="s">
        <v>214</v>
      </c>
      <c r="C43" s="24" t="s">
        <v>37</v>
      </c>
      <c r="D43" s="12">
        <f>SUM(Mining!D11,Gas!D11,Fuels!D11,'Chemicals Africa'!D11,'Chemicals America'!D11,'Chemicals Eurasia'!D11,Corp!D11)</f>
        <v>26664</v>
      </c>
      <c r="E43" s="12">
        <f>SUM(Mining!E11,Gas!E11,Fuels!E11,'Chemicals Africa'!E11,'Chemicals America'!E11,'Chemicals Eurasia'!E11,Corp!E11)</f>
        <v>6693</v>
      </c>
    </row>
    <row r="44" spans="2:5" x14ac:dyDescent="0.25">
      <c r="B44" s="16" t="s">
        <v>8</v>
      </c>
      <c r="C44" s="27" t="s">
        <v>37</v>
      </c>
      <c r="D44" s="17">
        <f>SUM(Mining!D12,Gas!D12,Fuels!D12,'Chemicals Africa'!D12,'Chemicals America'!D12,'Chemicals Eurasia'!D12,Corp!D12)</f>
        <v>604</v>
      </c>
      <c r="E44" s="17">
        <f>SUM(Mining!E12,Gas!E12,Fuels!E12,'Chemicals Africa'!E12,'Chemicals America'!E12,'Chemicals Eurasia'!E12,Corp!E12)</f>
        <v>-6542</v>
      </c>
    </row>
    <row r="45" spans="2:5" s="2" customFormat="1" x14ac:dyDescent="0.25">
      <c r="B45" s="2" t="s">
        <v>215</v>
      </c>
      <c r="C45" s="25" t="s">
        <v>37</v>
      </c>
      <c r="D45" s="18">
        <f t="shared" ref="D45" si="1">SUM(D43:D44)</f>
        <v>27268</v>
      </c>
      <c r="E45" s="18">
        <f t="shared" ref="E45" si="2">SUM(E43:E44)</f>
        <v>151</v>
      </c>
    </row>
    <row r="46" spans="2:5" x14ac:dyDescent="0.25">
      <c r="B46" s="1" t="s">
        <v>216</v>
      </c>
      <c r="C46" s="24" t="s">
        <v>37</v>
      </c>
      <c r="D46" s="12">
        <f>SUM(Mining!D14,Gas!D14,Fuels!D14,'Chemicals Africa'!D14,'Chemicals America'!D14,'Chemicals Eurasia'!D14,Corp!D14)</f>
        <v>1074</v>
      </c>
      <c r="E46" s="12">
        <f>SUM(Mining!E14,Gas!E14,Fuels!E14,'Chemicals Africa'!E14,'Chemicals America'!E14,'Chemicals Eurasia'!E14,Corp!E14)</f>
        <v>-347</v>
      </c>
    </row>
    <row r="47" spans="2:5" x14ac:dyDescent="0.25">
      <c r="B47" s="16" t="s">
        <v>217</v>
      </c>
      <c r="C47" s="27" t="s">
        <v>37</v>
      </c>
      <c r="D47" s="17">
        <f>SUM(Mining!D15,Gas!D15,Fuels!D15,'Chemicals Africa'!D15,'Chemicals America'!D15,'Chemicals Eurasia'!D15,Corp!D15)</f>
        <v>0</v>
      </c>
      <c r="E47" s="17">
        <f>SUM(Mining!E15,Gas!E15,Fuels!E15,'Chemicals Africa'!E15,'Chemicals America'!E15,'Chemicals Eurasia'!E15,Corp!E15)</f>
        <v>0</v>
      </c>
    </row>
    <row r="48" spans="2:5" x14ac:dyDescent="0.25">
      <c r="B48" s="1" t="s">
        <v>218</v>
      </c>
      <c r="C48" s="24" t="s">
        <v>37</v>
      </c>
      <c r="D48" s="12">
        <f t="shared" ref="D48" si="3">SUM(D45:D47)</f>
        <v>28342</v>
      </c>
      <c r="E48" s="12">
        <f t="shared" ref="E48" si="4">SUM(E45:E47)</f>
        <v>-196</v>
      </c>
    </row>
    <row r="49" spans="2:5" x14ac:dyDescent="0.25">
      <c r="B49" s="16" t="s">
        <v>9</v>
      </c>
      <c r="C49" s="27" t="s">
        <v>37</v>
      </c>
      <c r="D49" s="17">
        <f>SUM(Mining!D17,Gas!D17,Fuels!D17,'Chemicals Africa'!D17,'Chemicals America'!D17,'Chemicals Eurasia'!D17,Corp!D17)</f>
        <v>-18645</v>
      </c>
      <c r="E49" s="17">
        <f>SUM(Mining!E17,Gas!E17,Fuels!E17,'Chemicals Africa'!E17,'Chemicals America'!E17,'Chemicals Eurasia'!E17,Corp!E17)</f>
        <v>-110834</v>
      </c>
    </row>
    <row r="50" spans="2:5" s="2" customFormat="1" x14ac:dyDescent="0.25">
      <c r="B50" s="2" t="s">
        <v>392</v>
      </c>
      <c r="C50" s="25" t="s">
        <v>37</v>
      </c>
      <c r="D50" s="18">
        <f t="shared" ref="D50" si="5">SUM(D48:D49)</f>
        <v>9697</v>
      </c>
      <c r="E50" s="18">
        <f t="shared" ref="E50" si="6">SUM(E48:E49)</f>
        <v>-111030</v>
      </c>
    </row>
    <row r="51" spans="2:5" x14ac:dyDescent="0.25">
      <c r="B51" s="1" t="s">
        <v>108</v>
      </c>
      <c r="C51" s="24" t="s">
        <v>37</v>
      </c>
      <c r="D51" s="12">
        <f>SUM(Mining!D19,Gas!D19,Fuels!D19,'Chemicals Africa'!D19,'Chemicals America'!D19,'Chemicals Eurasia'!D19,Corp!D19)</f>
        <v>17535</v>
      </c>
      <c r="E51" s="12">
        <f>SUM(Mining!E19,Gas!E19,Fuels!E19,'Chemicals Africa'!E19,'Chemicals America'!E19,'Chemicals Eurasia'!E19,Corp!E19)</f>
        <v>19828</v>
      </c>
    </row>
    <row r="52" spans="2:5" x14ac:dyDescent="0.25">
      <c r="B52" s="1" t="s">
        <v>239</v>
      </c>
      <c r="C52" s="24" t="s">
        <v>37</v>
      </c>
      <c r="D52" s="12">
        <f>SUM(Mining!D20,Gas!D20,Fuels!D20,'Chemicals Africa'!D20,'Chemicals America'!D20,'Chemicals Eurasia'!D20,Corp!D20)</f>
        <v>433</v>
      </c>
      <c r="E52" s="12">
        <f>SUM(Mining!E20,Gas!E20,Fuels!E20,'Chemicals Africa'!E20,'Chemicals America'!E20,'Chemicals Eurasia'!E20,Corp!E20)</f>
        <v>2747</v>
      </c>
    </row>
    <row r="53" spans="2:5" x14ac:dyDescent="0.25">
      <c r="B53" s="1" t="s">
        <v>9</v>
      </c>
      <c r="C53" s="24" t="s">
        <v>37</v>
      </c>
      <c r="D53" s="12">
        <f>SUM(Mining!D21,Gas!D21,Fuels!D21,'Chemicals Africa'!D21,'Chemicals America'!D21,'Chemicals Eurasia'!D21,Corp!D21)</f>
        <v>18645</v>
      </c>
      <c r="E53" s="12">
        <f>SUM(Mining!E21,Gas!E21,Fuels!E21,'Chemicals Africa'!E21,'Chemicals America'!E21,'Chemicals Eurasia'!E21,Corp!E21)</f>
        <v>110834</v>
      </c>
    </row>
    <row r="54" spans="2:5" x14ac:dyDescent="0.25">
      <c r="B54" s="1" t="s">
        <v>238</v>
      </c>
      <c r="C54" s="24" t="s">
        <v>37</v>
      </c>
      <c r="D54" s="12">
        <f>SUM(Mining!D22,Gas!D22,Fuels!D22,'Chemicals Africa'!D22,'Chemicals America'!D22,'Chemicals Eurasia'!D22,Corp!D22)</f>
        <v>1218</v>
      </c>
      <c r="E54" s="12">
        <f>SUM(Mining!E22,Gas!E22,Fuels!E22,'Chemicals Africa'!E22,'Chemicals America'!E22,'Chemicals Eurasia'!E22,Corp!E22)</f>
        <v>1741</v>
      </c>
    </row>
    <row r="55" spans="2:5" x14ac:dyDescent="0.25">
      <c r="B55" s="1" t="s">
        <v>245</v>
      </c>
      <c r="C55" s="24" t="s">
        <v>37</v>
      </c>
      <c r="D55" s="12">
        <f>SUM(Mining!D23,Gas!D23,Fuels!D23,'Chemicals Africa'!D23,'Chemicals America'!D23,'Chemicals Eurasia'!D23,Corp!D23)</f>
        <v>-579</v>
      </c>
      <c r="E55" s="12">
        <f>SUM(Mining!E23,Gas!E23,Fuels!E23,'Chemicals Africa'!E23,'Chemicals America'!E23,'Chemicals Eurasia'!E23,Corp!E23)</f>
        <v>12163</v>
      </c>
    </row>
    <row r="56" spans="2:5" x14ac:dyDescent="0.25">
      <c r="B56" s="1" t="s">
        <v>243</v>
      </c>
      <c r="C56" s="29" t="s">
        <v>37</v>
      </c>
      <c r="D56" s="12">
        <f>SUM(Mining!D24,Gas!D24,Fuels!D24,'Chemicals Africa'!D24,'Chemicals America'!D24,'Chemicals Eurasia'!D24,Corp!D24)</f>
        <v>688</v>
      </c>
      <c r="E56" s="12">
        <f>SUM(Mining!E24,Gas!E24,Fuels!E24,'Chemicals Africa'!E24,'Chemicals America'!E24,'Chemicals Eurasia'!E24,Corp!E24)</f>
        <v>-1307</v>
      </c>
    </row>
    <row r="57" spans="2:5" s="2" customFormat="1" ht="13.8" thickBot="1" x14ac:dyDescent="0.3">
      <c r="B57" s="19" t="s">
        <v>244</v>
      </c>
      <c r="C57" s="28" t="s">
        <v>37</v>
      </c>
      <c r="D57" s="20">
        <f>SUM(D50:D56)</f>
        <v>47637</v>
      </c>
      <c r="E57" s="20">
        <f>SUM(E50:E56)</f>
        <v>34976</v>
      </c>
    </row>
    <row r="58" spans="2:5" x14ac:dyDescent="0.25">
      <c r="D58" s="12"/>
      <c r="E58" s="12"/>
    </row>
    <row r="59" spans="2:5" x14ac:dyDescent="0.25">
      <c r="B59" s="39" t="s">
        <v>21</v>
      </c>
      <c r="D59" s="12"/>
      <c r="E59" s="12"/>
    </row>
    <row r="60" spans="2:5" x14ac:dyDescent="0.25">
      <c r="B60" s="1" t="s">
        <v>12</v>
      </c>
      <c r="C60" s="24" t="s">
        <v>37</v>
      </c>
      <c r="D60" s="12">
        <f>SUM(Mining!D28,Gas!D28,Fuels!D28,'Chemicals Africa'!D28,'Chemicals America'!D28,'Chemicals Eurasia'!D28,Corp!D28)</f>
        <v>233549</v>
      </c>
      <c r="E60" s="12">
        <f>SUM(Mining!E28,Gas!E28,Fuels!E28,'Chemicals Africa'!E28,'Chemicals America'!E28,'Chemicals Eurasia'!E28,Corp!E28)</f>
        <v>204470</v>
      </c>
    </row>
    <row r="61" spans="2:5" x14ac:dyDescent="0.25">
      <c r="B61" s="1" t="s">
        <v>368</v>
      </c>
      <c r="C61" s="24" t="s">
        <v>37</v>
      </c>
      <c r="D61" s="12">
        <f>SUM(Mining!D29,Gas!D29,Fuels!D29,'Chemicals Africa'!D29,'Chemicals America'!D29,'Chemicals Eurasia'!D29,Corp!D29)</f>
        <v>0</v>
      </c>
      <c r="E61" s="12">
        <f>SUM(Mining!E29,Gas!E29,Fuels!E29,'Chemicals Africa'!E29,'Chemicals America'!E29,'Chemicals Eurasia'!E29,Corp!E29)</f>
        <v>13816</v>
      </c>
    </row>
    <row r="62" spans="2:5" x14ac:dyDescent="0.25">
      <c r="B62" s="1" t="s">
        <v>13</v>
      </c>
      <c r="C62" s="24" t="s">
        <v>37</v>
      </c>
      <c r="D62" s="12">
        <f>SUM(Mining!D30,Gas!D30,Fuels!D30,'Chemicals Africa'!D30,'Chemicals America'!D30,'Chemicals Eurasia'!D30,Corp!D30)</f>
        <v>127764</v>
      </c>
      <c r="E62" s="12">
        <f>SUM(Mining!E30,Gas!E30,Fuels!E30,'Chemicals Africa'!E30,'Chemicals America'!E30,'Chemicals Eurasia'!E30,Corp!E30)</f>
        <v>27802</v>
      </c>
    </row>
    <row r="63" spans="2:5" x14ac:dyDescent="0.25">
      <c r="B63" s="1" t="s">
        <v>219</v>
      </c>
      <c r="C63" s="24" t="s">
        <v>37</v>
      </c>
      <c r="D63" s="12">
        <f>SUM(Mining!D31,Gas!D31,Fuels!D31,'Chemicals Africa'!D31,'Chemicals America'!D31,'Chemicals Eurasia'!D31,Corp!D31)</f>
        <v>3357</v>
      </c>
      <c r="E63" s="12">
        <f>SUM(Mining!E31,Gas!E31,Fuels!E31,'Chemicals Africa'!E31,'Chemicals America'!E31,'Chemicals Eurasia'!E31,Corp!E31)</f>
        <v>2800</v>
      </c>
    </row>
    <row r="64" spans="2:5" x14ac:dyDescent="0.25">
      <c r="B64" s="1" t="s">
        <v>14</v>
      </c>
      <c r="C64" s="24" t="s">
        <v>37</v>
      </c>
      <c r="D64" s="12">
        <f>SUM(Mining!D32,Gas!D32,Fuels!D32,'Chemicals Africa'!D32,'Chemicals America'!D32,'Chemicals Eurasia'!D32,Corp!D32)</f>
        <v>17446</v>
      </c>
      <c r="E64" s="12">
        <f>SUM(Mining!E32,Gas!E32,Fuels!E32,'Chemicals Africa'!E32,'Chemicals America'!E32,'Chemicals Eurasia'!E32,Corp!E32)</f>
        <v>20173</v>
      </c>
    </row>
    <row r="65" spans="2:7" x14ac:dyDescent="0.25">
      <c r="B65" s="1" t="s">
        <v>15</v>
      </c>
      <c r="C65" s="24" t="s">
        <v>37</v>
      </c>
      <c r="D65" s="12">
        <f>SUM(Mining!D33,Gas!D33,Fuels!D33,'Chemicals Africa'!D33,'Chemicals America'!D33,'Chemicals Eurasia'!D33,Corp!D33)</f>
        <v>77285</v>
      </c>
      <c r="E65" s="12">
        <f>SUM(Mining!E33,Gas!E33,Fuels!E33,'Chemicals Africa'!E33,'Chemicals America'!E33,'Chemicals Eurasia'!E33,Corp!E33)</f>
        <v>172550</v>
      </c>
    </row>
    <row r="66" spans="2:7" ht="13.8" thickBot="1" x14ac:dyDescent="0.3">
      <c r="B66" s="19" t="s">
        <v>16</v>
      </c>
      <c r="C66" s="28" t="s">
        <v>37</v>
      </c>
      <c r="D66" s="20">
        <f t="shared" ref="D66" si="7">SUM(D60:D65)</f>
        <v>459401</v>
      </c>
      <c r="E66" s="20">
        <f t="shared" ref="E66" si="8">SUM(E60:E65)</f>
        <v>441611</v>
      </c>
    </row>
    <row r="67" spans="2:7" x14ac:dyDescent="0.25">
      <c r="B67" s="1" t="s">
        <v>17</v>
      </c>
      <c r="C67" s="24" t="s">
        <v>37</v>
      </c>
      <c r="D67" s="12">
        <f>SUM(Mining!D35,Gas!D35,Fuels!D35,'Chemicals Africa'!D35,'Chemicals America'!D35,'Chemicals Eurasia'!D35,Corp!D35)</f>
        <v>167489</v>
      </c>
      <c r="E67" s="12">
        <f>SUM(Mining!E35,Gas!E35,Fuels!E35,'Chemicals Africa'!E35,'Chemicals America'!E35,'Chemicals Eurasia'!E35,Corp!E35)</f>
        <v>206346</v>
      </c>
      <c r="G67" s="1" t="s">
        <v>378</v>
      </c>
    </row>
    <row r="68" spans="2:7" x14ac:dyDescent="0.25">
      <c r="B68" s="1" t="s">
        <v>18</v>
      </c>
      <c r="C68" s="24" t="s">
        <v>37</v>
      </c>
      <c r="D68" s="12">
        <f>SUM(Mining!D36,Gas!D36,Fuels!D36,'Chemicals Africa'!D36,'Chemicals America'!D36,'Chemicals Eurasia'!D36,Corp!D36)</f>
        <v>48059</v>
      </c>
      <c r="E68" s="12">
        <f>SUM(Mining!E36,Gas!E36,Fuels!E36,'Chemicals Africa'!E36,'Chemicals America'!E36,'Chemicals Eurasia'!E36,Corp!E36)</f>
        <v>92453</v>
      </c>
    </row>
    <row r="69" spans="2:7" ht="13.8" thickBot="1" x14ac:dyDescent="0.3">
      <c r="B69" s="19" t="s">
        <v>19</v>
      </c>
      <c r="C69" s="28" t="s">
        <v>37</v>
      </c>
      <c r="D69" s="20">
        <f t="shared" ref="D69" si="9">SUM(D67:D68)</f>
        <v>215548</v>
      </c>
      <c r="E69" s="20">
        <f t="shared" ref="E69" si="10">SUM(E67:E68)</f>
        <v>298799</v>
      </c>
    </row>
    <row r="70" spans="2:7" x14ac:dyDescent="0.25">
      <c r="D70" s="12"/>
      <c r="E70" s="12"/>
    </row>
    <row r="71" spans="2:7" x14ac:dyDescent="0.25">
      <c r="B71" s="39" t="s">
        <v>20</v>
      </c>
      <c r="D71" s="12"/>
      <c r="E71" s="12"/>
    </row>
    <row r="72" spans="2:7" x14ac:dyDescent="0.25">
      <c r="B72" s="16" t="s">
        <v>223</v>
      </c>
      <c r="C72" s="27" t="s">
        <v>37</v>
      </c>
      <c r="D72" s="17">
        <f>SUM(Mining!D40,Gas!D40,Fuels!D40,'Chemicals Africa'!D40,'Chemicals America'!D40,'Chemicals Eurasia'!D40,Corp!D40)</f>
        <v>55800</v>
      </c>
      <c r="E72" s="17">
        <f>SUM(Mining!E40,Gas!E40,Fuels!E40,'Chemicals Africa'!E40,'Chemicals America'!E40,'Chemicals Eurasia'!E40,Corp!E40)</f>
        <v>35164</v>
      </c>
    </row>
    <row r="73" spans="2:7" x14ac:dyDescent="0.25">
      <c r="D73" s="12"/>
      <c r="E73" s="12"/>
    </row>
    <row r="74" spans="2:7" x14ac:dyDescent="0.25">
      <c r="B74" s="2" t="s">
        <v>22</v>
      </c>
      <c r="D74" s="12"/>
      <c r="E74" s="12"/>
    </row>
    <row r="75" spans="2:7" x14ac:dyDescent="0.25">
      <c r="B75" s="1" t="s">
        <v>220</v>
      </c>
      <c r="C75" s="24" t="s">
        <v>37</v>
      </c>
      <c r="D75" s="12">
        <f>SUM(Mining!D43,Gas!D43,Fuels!D43,'Chemicals Africa'!D43,'Chemicals America'!D43,'Chemicals Eurasia'!D43,Corp!D43)</f>
        <v>60095</v>
      </c>
      <c r="E75" s="12">
        <f>SUM(Mining!E43,Gas!E43,Fuels!E43,'Chemicals Africa'!E43,'Chemicals America'!E43,'Chemicals Eurasia'!E43,Corp!E43)</f>
        <v>31950</v>
      </c>
    </row>
    <row r="76" spans="2:7" x14ac:dyDescent="0.25">
      <c r="B76" s="1" t="s">
        <v>221</v>
      </c>
      <c r="C76" s="24" t="s">
        <v>37</v>
      </c>
      <c r="D76" s="12">
        <f>SUM(Mining!D44,Gas!D44,Fuels!D44,'Chemicals Africa'!D44,'Chemicals America'!D44,'Chemicals Eurasia'!D44,Corp!D44)</f>
        <v>1283</v>
      </c>
      <c r="E76" s="12">
        <f>SUM(Mining!E44,Gas!E44,Fuels!E44,'Chemicals Africa'!E44,'Chemicals America'!E44,'Chemicals Eurasia'!E44,Corp!E44)</f>
        <v>1277</v>
      </c>
    </row>
    <row r="77" spans="2:7" x14ac:dyDescent="0.25">
      <c r="D77" s="12"/>
      <c r="E77" s="12"/>
    </row>
    <row r="78" spans="2:7" x14ac:dyDescent="0.25">
      <c r="B78" s="16" t="s">
        <v>23</v>
      </c>
      <c r="C78" s="27"/>
      <c r="D78" s="17">
        <f>SUM(Mining!D46,Gas!D46,Fuels!D46,'Chemicals Africa'!D46,'Chemicals America'!D46,'Chemicals Eurasia'!D46,Corp!D46)</f>
        <v>31429</v>
      </c>
      <c r="E78" s="17">
        <f>SUM(Mining!E46,Gas!E46,Fuels!E46,'Chemicals Africa'!E46,'Chemicals America'!E46,'Chemicals Eurasia'!E46,Corp!E46)</f>
        <v>31001</v>
      </c>
    </row>
    <row r="79" spans="2:7" x14ac:dyDescent="0.25">
      <c r="D79" s="12"/>
      <c r="E79" s="12"/>
    </row>
    <row r="80" spans="2:7" x14ac:dyDescent="0.25">
      <c r="B80" s="39" t="s">
        <v>144</v>
      </c>
    </row>
    <row r="81" spans="2:5" x14ac:dyDescent="0.25">
      <c r="B81" s="1" t="s">
        <v>107</v>
      </c>
      <c r="C81" s="24" t="s">
        <v>37</v>
      </c>
      <c r="D81" s="31">
        <f>D19</f>
        <v>203576</v>
      </c>
      <c r="E81" s="31">
        <f>E19</f>
        <v>190367</v>
      </c>
    </row>
    <row r="82" spans="2:5" s="2" customFormat="1" x14ac:dyDescent="0.25">
      <c r="B82" s="62" t="str">
        <f>B50</f>
        <v>Earnings/(loss) before interest and tax (EBIT/LBIT)</v>
      </c>
      <c r="C82" s="63" t="s">
        <v>37</v>
      </c>
      <c r="D82" s="64">
        <f>D50</f>
        <v>9697</v>
      </c>
      <c r="E82" s="64">
        <f>E50</f>
        <v>-111030</v>
      </c>
    </row>
    <row r="83" spans="2:5" s="2" customFormat="1" x14ac:dyDescent="0.25">
      <c r="B83" s="1" t="s">
        <v>236</v>
      </c>
      <c r="C83" s="24"/>
      <c r="D83" s="31">
        <f t="shared" ref="D83:E83" si="11">SUM(D82:D82)</f>
        <v>9697</v>
      </c>
      <c r="E83" s="31">
        <f t="shared" si="11"/>
        <v>-111030</v>
      </c>
    </row>
    <row r="84" spans="2:5" x14ac:dyDescent="0.25">
      <c r="D84" s="31"/>
      <c r="E84" s="31"/>
    </row>
    <row r="85" spans="2:5" s="2" customFormat="1" x14ac:dyDescent="0.25">
      <c r="B85" s="62" t="s">
        <v>145</v>
      </c>
      <c r="C85" s="63" t="s">
        <v>37</v>
      </c>
      <c r="D85" s="64">
        <f t="shared" ref="D85:E85" si="12">SUM(D86:D87)</f>
        <v>-466</v>
      </c>
      <c r="E85" s="64">
        <f t="shared" si="12"/>
        <v>-6381</v>
      </c>
    </row>
    <row r="86" spans="2:5" s="132" customFormat="1" x14ac:dyDescent="0.25">
      <c r="B86" s="127" t="s">
        <v>146</v>
      </c>
      <c r="C86" s="112" t="s">
        <v>37</v>
      </c>
      <c r="D86" s="85">
        <v>787</v>
      </c>
      <c r="E86" s="85">
        <v>922</v>
      </c>
    </row>
    <row r="87" spans="2:5" s="132" customFormat="1" x14ac:dyDescent="0.25">
      <c r="B87" s="140" t="s">
        <v>147</v>
      </c>
      <c r="C87" s="126" t="s">
        <v>37</v>
      </c>
      <c r="D87" s="86">
        <v>-1253</v>
      </c>
      <c r="E87" s="86">
        <v>-7303</v>
      </c>
    </row>
    <row r="88" spans="2:5" x14ac:dyDescent="0.25">
      <c r="D88" s="31"/>
      <c r="E88" s="31"/>
    </row>
    <row r="89" spans="2:5" s="2" customFormat="1" x14ac:dyDescent="0.25">
      <c r="B89" s="2" t="s">
        <v>148</v>
      </c>
      <c r="C89" s="25" t="s">
        <v>37</v>
      </c>
      <c r="D89" s="61">
        <f t="shared" ref="D89:E89" si="13">SUM(D83,D85)</f>
        <v>9231</v>
      </c>
      <c r="E89" s="61">
        <f t="shared" si="13"/>
        <v>-117411</v>
      </c>
    </row>
    <row r="90" spans="2:5" s="132" customFormat="1" x14ac:dyDescent="0.25">
      <c r="B90" s="138" t="s">
        <v>114</v>
      </c>
      <c r="C90" s="126" t="s">
        <v>37</v>
      </c>
      <c r="D90" s="86">
        <v>-3157</v>
      </c>
      <c r="E90" s="86">
        <v>26139</v>
      </c>
    </row>
    <row r="91" spans="2:5" s="2" customFormat="1" ht="13.8" thickBot="1" x14ac:dyDescent="0.3">
      <c r="B91" s="19" t="s">
        <v>149</v>
      </c>
      <c r="C91" s="28" t="s">
        <v>37</v>
      </c>
      <c r="D91" s="66">
        <f t="shared" ref="D91:E91" si="14">SUM(D89:D90)</f>
        <v>6074</v>
      </c>
      <c r="E91" s="66">
        <f t="shared" si="14"/>
        <v>-91272</v>
      </c>
    </row>
    <row r="92" spans="2:5" x14ac:dyDescent="0.25">
      <c r="D92" s="31"/>
      <c r="E92" s="31"/>
    </row>
    <row r="93" spans="2:5" x14ac:dyDescent="0.25">
      <c r="B93" s="1" t="s">
        <v>150</v>
      </c>
      <c r="D93" s="31"/>
      <c r="E93" s="31"/>
    </row>
    <row r="94" spans="2:5" x14ac:dyDescent="0.25">
      <c r="B94" s="9" t="s">
        <v>151</v>
      </c>
      <c r="C94" s="24" t="s">
        <v>37</v>
      </c>
      <c r="D94" s="31">
        <f t="shared" ref="D94:E94" si="15">D91-D95</f>
        <v>4298</v>
      </c>
      <c r="E94" s="31">
        <f t="shared" si="15"/>
        <v>-91109</v>
      </c>
    </row>
    <row r="95" spans="2:5" x14ac:dyDescent="0.25">
      <c r="B95" s="9" t="s">
        <v>152</v>
      </c>
      <c r="C95" s="24" t="s">
        <v>37</v>
      </c>
      <c r="D95" s="85">
        <v>1776</v>
      </c>
      <c r="E95" s="85">
        <v>-163</v>
      </c>
    </row>
    <row r="96" spans="2:5" ht="13.8" thickBot="1" x14ac:dyDescent="0.3">
      <c r="B96" s="19"/>
      <c r="C96" s="28" t="s">
        <v>37</v>
      </c>
      <c r="D96" s="66">
        <f t="shared" ref="D96:E96" si="16">SUM(D94:D95)</f>
        <v>6074</v>
      </c>
      <c r="E96" s="66">
        <f t="shared" si="16"/>
        <v>-91272</v>
      </c>
    </row>
    <row r="97" spans="2:5" x14ac:dyDescent="0.25">
      <c r="D97" s="31"/>
      <c r="E97" s="31"/>
    </row>
    <row r="98" spans="2:5" x14ac:dyDescent="0.25">
      <c r="B98" s="2" t="s">
        <v>153</v>
      </c>
      <c r="D98" s="31"/>
      <c r="E98" s="31"/>
    </row>
    <row r="99" spans="2:5" x14ac:dyDescent="0.25">
      <c r="B99" s="9" t="s">
        <v>154</v>
      </c>
      <c r="C99" s="24" t="s">
        <v>158</v>
      </c>
      <c r="D99" s="10">
        <f t="shared" ref="D99:E99" si="17">D94/D112</f>
        <v>6.9704832954914044</v>
      </c>
      <c r="E99" s="10">
        <f t="shared" si="17"/>
        <v>-147.44942547337757</v>
      </c>
    </row>
    <row r="100" spans="2:5" x14ac:dyDescent="0.25">
      <c r="B100" s="9" t="s">
        <v>155</v>
      </c>
      <c r="C100" s="24" t="s">
        <v>158</v>
      </c>
      <c r="D100" s="10">
        <f t="shared" ref="D100" si="18">D122/D115</f>
        <v>6.9289053683701436</v>
      </c>
      <c r="E100" s="163">
        <f>E122/E112</f>
        <v>-147.44942547337757</v>
      </c>
    </row>
    <row r="101" spans="2:5" x14ac:dyDescent="0.25">
      <c r="B101" s="9" t="s">
        <v>156</v>
      </c>
      <c r="C101" s="24" t="s">
        <v>158</v>
      </c>
      <c r="D101" s="110">
        <f t="shared" ref="D101:E101" si="19">D129/D112</f>
        <v>30.718456049302628</v>
      </c>
      <c r="E101" s="110">
        <f t="shared" si="19"/>
        <v>-11.789933646221073</v>
      </c>
    </row>
    <row r="102" spans="2:5" x14ac:dyDescent="0.25">
      <c r="B102" s="9" t="s">
        <v>157</v>
      </c>
      <c r="C102" s="24" t="s">
        <v>158</v>
      </c>
      <c r="D102" s="10">
        <f t="shared" ref="D102" si="20">D131/D117</f>
        <v>30.535224891181688</v>
      </c>
      <c r="E102" s="163">
        <f>E131/E112</f>
        <v>-11.789933646221073</v>
      </c>
    </row>
    <row r="103" spans="2:5" x14ac:dyDescent="0.25">
      <c r="B103" s="9"/>
      <c r="D103" s="10"/>
      <c r="E103" s="10"/>
    </row>
    <row r="104" spans="2:5" x14ac:dyDescent="0.25">
      <c r="B104" s="9" t="s">
        <v>263</v>
      </c>
      <c r="C104" s="24" t="s">
        <v>158</v>
      </c>
      <c r="D104" s="10">
        <v>5.9</v>
      </c>
      <c r="E104" s="10">
        <v>0</v>
      </c>
    </row>
    <row r="105" spans="2:5" x14ac:dyDescent="0.25">
      <c r="B105" s="9" t="s">
        <v>264</v>
      </c>
      <c r="C105" s="24" t="s">
        <v>265</v>
      </c>
      <c r="D105" s="11">
        <f>D101/D104</f>
        <v>5.2065179744580723</v>
      </c>
      <c r="E105" s="11"/>
    </row>
    <row r="106" spans="2:5" x14ac:dyDescent="0.25">
      <c r="B106" s="9"/>
      <c r="D106" s="11"/>
      <c r="E106" s="11"/>
    </row>
    <row r="107" spans="2:5" x14ac:dyDescent="0.25">
      <c r="B107" s="39" t="s">
        <v>38</v>
      </c>
      <c r="D107" s="11"/>
      <c r="E107" s="11"/>
    </row>
    <row r="108" spans="2:5" x14ac:dyDescent="0.25">
      <c r="D108" s="11"/>
      <c r="E108" s="11"/>
    </row>
    <row r="109" spans="2:5" x14ac:dyDescent="0.25">
      <c r="B109" s="1" t="s">
        <v>177</v>
      </c>
      <c r="C109" s="24" t="s">
        <v>40</v>
      </c>
      <c r="D109" s="32">
        <f t="shared" ref="D109:E109" si="21">-D90/D89</f>
        <v>0.34199978333874986</v>
      </c>
      <c r="E109" s="32">
        <f t="shared" si="21"/>
        <v>0.22262820349030329</v>
      </c>
    </row>
    <row r="110" spans="2:5" x14ac:dyDescent="0.25">
      <c r="D110" s="11"/>
      <c r="E110" s="11"/>
    </row>
    <row r="111" spans="2:5" x14ac:dyDescent="0.25">
      <c r="B111" s="2" t="s">
        <v>159</v>
      </c>
      <c r="D111" s="11"/>
      <c r="E111" s="11"/>
    </row>
    <row r="112" spans="2:5" x14ac:dyDescent="0.25">
      <c r="B112" s="1" t="s">
        <v>160</v>
      </c>
      <c r="C112" s="24" t="s">
        <v>162</v>
      </c>
      <c r="D112" s="33">
        <v>616.6</v>
      </c>
      <c r="E112" s="33">
        <v>617.9</v>
      </c>
    </row>
    <row r="113" spans="2:5" x14ac:dyDescent="0.25">
      <c r="B113" s="1" t="s">
        <v>369</v>
      </c>
      <c r="C113" s="24" t="s">
        <v>162</v>
      </c>
      <c r="D113" s="33">
        <v>2.9</v>
      </c>
      <c r="E113" s="33">
        <v>2.6</v>
      </c>
    </row>
    <row r="114" spans="2:5" x14ac:dyDescent="0.25">
      <c r="B114" s="16" t="s">
        <v>370</v>
      </c>
      <c r="C114" s="27" t="s">
        <v>162</v>
      </c>
      <c r="D114" s="34">
        <v>0.8</v>
      </c>
      <c r="E114" s="34">
        <v>1.8</v>
      </c>
    </row>
    <row r="115" spans="2:5" s="2" customFormat="1" x14ac:dyDescent="0.25">
      <c r="B115" s="2" t="s">
        <v>161</v>
      </c>
      <c r="C115" s="25" t="s">
        <v>162</v>
      </c>
      <c r="D115" s="45">
        <f t="shared" ref="D115:E115" si="22">SUM(D112:D114)</f>
        <v>620.29999999999995</v>
      </c>
      <c r="E115" s="45">
        <f t="shared" si="22"/>
        <v>622.29999999999995</v>
      </c>
    </row>
    <row r="116" spans="2:5" x14ac:dyDescent="0.25">
      <c r="B116" s="16" t="s">
        <v>142</v>
      </c>
      <c r="C116" s="24" t="s">
        <v>162</v>
      </c>
      <c r="D116" s="33">
        <v>0</v>
      </c>
      <c r="E116" s="33">
        <f t="shared" ref="E116" si="23">D116</f>
        <v>0</v>
      </c>
    </row>
    <row r="117" spans="2:5" s="2" customFormat="1" ht="13.8" thickBot="1" x14ac:dyDescent="0.3">
      <c r="B117" s="19" t="s">
        <v>373</v>
      </c>
      <c r="C117" s="28" t="s">
        <v>162</v>
      </c>
      <c r="D117" s="67">
        <f t="shared" ref="D117:E117" si="24">SUM(D115:D116)</f>
        <v>620.29999999999995</v>
      </c>
      <c r="E117" s="67">
        <f t="shared" si="24"/>
        <v>622.29999999999995</v>
      </c>
    </row>
    <row r="118" spans="2:5" x14ac:dyDescent="0.25">
      <c r="D118" s="11"/>
      <c r="E118" s="11"/>
    </row>
    <row r="119" spans="2:5" x14ac:dyDescent="0.25">
      <c r="B119" s="2" t="s">
        <v>163</v>
      </c>
      <c r="D119" s="11"/>
      <c r="E119" s="11"/>
    </row>
    <row r="120" spans="2:5" x14ac:dyDescent="0.25">
      <c r="B120" s="9" t="s">
        <v>164</v>
      </c>
      <c r="C120" s="24" t="s">
        <v>37</v>
      </c>
      <c r="D120" s="12">
        <f t="shared" ref="D120:E120" si="25">D94</f>
        <v>4298</v>
      </c>
      <c r="E120" s="12">
        <f t="shared" si="25"/>
        <v>-91109</v>
      </c>
    </row>
    <row r="121" spans="2:5" x14ac:dyDescent="0.25">
      <c r="B121" s="9" t="s">
        <v>372</v>
      </c>
      <c r="C121" s="24" t="s">
        <v>37</v>
      </c>
      <c r="D121" s="52">
        <v>0</v>
      </c>
      <c r="E121" s="52">
        <v>0</v>
      </c>
    </row>
    <row r="122" spans="2:5" s="2" customFormat="1" ht="13.8" thickBot="1" x14ac:dyDescent="0.3">
      <c r="B122" s="19" t="s">
        <v>371</v>
      </c>
      <c r="C122" s="28" t="s">
        <v>37</v>
      </c>
      <c r="D122" s="66">
        <f t="shared" ref="D122:E122" si="26">SUM(D120:D121)</f>
        <v>4298</v>
      </c>
      <c r="E122" s="66">
        <f t="shared" si="26"/>
        <v>-91109</v>
      </c>
    </row>
    <row r="124" spans="2:5" x14ac:dyDescent="0.25">
      <c r="B124" s="2" t="s">
        <v>165</v>
      </c>
    </row>
    <row r="125" spans="2:5" x14ac:dyDescent="0.25">
      <c r="B125" s="9" t="s">
        <v>164</v>
      </c>
      <c r="C125" s="24" t="s">
        <v>37</v>
      </c>
      <c r="D125" s="31">
        <f t="shared" ref="D125:E125" si="27">D94</f>
        <v>4298</v>
      </c>
      <c r="E125" s="31">
        <f t="shared" si="27"/>
        <v>-91109</v>
      </c>
    </row>
    <row r="126" spans="2:5" x14ac:dyDescent="0.25">
      <c r="B126" s="9" t="s">
        <v>166</v>
      </c>
    </row>
    <row r="127" spans="2:5" x14ac:dyDescent="0.25">
      <c r="B127" s="9" t="s">
        <v>167</v>
      </c>
      <c r="C127" s="24" t="s">
        <v>37</v>
      </c>
      <c r="D127" s="31">
        <f t="shared" ref="D127:E127" si="28">-D49</f>
        <v>18645</v>
      </c>
      <c r="E127" s="31">
        <f t="shared" si="28"/>
        <v>110834</v>
      </c>
    </row>
    <row r="128" spans="2:5" x14ac:dyDescent="0.25">
      <c r="B128" s="65" t="s">
        <v>374</v>
      </c>
      <c r="C128" s="27" t="s">
        <v>37</v>
      </c>
      <c r="D128" s="86">
        <f>-4017+15</f>
        <v>-4002</v>
      </c>
      <c r="E128" s="86">
        <v>-27010</v>
      </c>
    </row>
    <row r="129" spans="2:5" s="2" customFormat="1" x14ac:dyDescent="0.25">
      <c r="B129" s="43" t="s">
        <v>165</v>
      </c>
      <c r="C129" s="25" t="s">
        <v>37</v>
      </c>
      <c r="D129" s="61">
        <f t="shared" ref="D129:E129" si="29">SUM(D125:D128)</f>
        <v>18941</v>
      </c>
      <c r="E129" s="61">
        <f t="shared" si="29"/>
        <v>-7285</v>
      </c>
    </row>
    <row r="130" spans="2:5" x14ac:dyDescent="0.25">
      <c r="B130" s="9" t="s">
        <v>168</v>
      </c>
      <c r="C130" s="24" t="s">
        <v>37</v>
      </c>
      <c r="D130" s="12">
        <v>0</v>
      </c>
      <c r="E130" s="12">
        <v>0</v>
      </c>
    </row>
    <row r="131" spans="2:5" ht="13.8" thickBot="1" x14ac:dyDescent="0.3">
      <c r="B131" s="68" t="s">
        <v>375</v>
      </c>
      <c r="C131" s="28" t="s">
        <v>37</v>
      </c>
      <c r="D131" s="66">
        <f t="shared" ref="D131:E131" si="30">SUM(D129:D130)</f>
        <v>18941</v>
      </c>
      <c r="E131" s="66">
        <f t="shared" si="30"/>
        <v>-7285</v>
      </c>
    </row>
    <row r="132" spans="2:5" x14ac:dyDescent="0.25">
      <c r="B132" s="9"/>
      <c r="D132" s="31"/>
      <c r="E132" s="31"/>
    </row>
    <row r="133" spans="2:5" x14ac:dyDescent="0.25">
      <c r="B133" s="43" t="s">
        <v>23</v>
      </c>
      <c r="D133" s="31"/>
      <c r="E133" s="31"/>
    </row>
    <row r="134" spans="2:5" x14ac:dyDescent="0.25">
      <c r="B134" s="9" t="str">
        <f>Mining!B4</f>
        <v>Mining</v>
      </c>
      <c r="C134" s="24" t="s">
        <v>198</v>
      </c>
      <c r="D134" s="31">
        <f>Mining!D46</f>
        <v>7402</v>
      </c>
      <c r="E134" s="31">
        <f>Mining!E46</f>
        <v>7433</v>
      </c>
    </row>
    <row r="135" spans="2:5" x14ac:dyDescent="0.25">
      <c r="B135" s="9" t="str">
        <f>Gas!B4</f>
        <v>Gas</v>
      </c>
      <c r="C135" s="24" t="s">
        <v>198</v>
      </c>
      <c r="D135" s="31">
        <f>Gas!D46</f>
        <v>567</v>
      </c>
      <c r="E135" s="31">
        <f>Gas!E46</f>
        <v>565</v>
      </c>
    </row>
    <row r="136" spans="2:5" x14ac:dyDescent="0.25">
      <c r="B136" s="9" t="str">
        <f>Fuels!B4</f>
        <v>Fuels</v>
      </c>
      <c r="C136" s="24" t="s">
        <v>198</v>
      </c>
      <c r="D136" s="31">
        <f>Fuels!D46</f>
        <v>4970</v>
      </c>
      <c r="E136" s="31">
        <f>Fuels!E46</f>
        <v>4953</v>
      </c>
    </row>
    <row r="137" spans="2:5" x14ac:dyDescent="0.25">
      <c r="B137" s="9" t="str">
        <f>'Chemicals Africa'!B4</f>
        <v>Chemicals Africa</v>
      </c>
      <c r="C137" s="24" t="s">
        <v>198</v>
      </c>
      <c r="D137" s="31">
        <f>'Chemicals Africa'!D46</f>
        <v>8848</v>
      </c>
      <c r="E137" s="31">
        <f>'Chemicals Africa'!E46</f>
        <v>8803</v>
      </c>
    </row>
    <row r="138" spans="2:5" x14ac:dyDescent="0.25">
      <c r="B138" s="9" t="str">
        <f>'Chemicals America'!B4</f>
        <v>Chemicals America</v>
      </c>
      <c r="C138" s="24" t="s">
        <v>198</v>
      </c>
      <c r="D138" s="31">
        <f>'Chemicals America'!D46</f>
        <v>1758</v>
      </c>
      <c r="E138" s="31">
        <f>'Chemicals America'!E46</f>
        <v>1748</v>
      </c>
    </row>
    <row r="139" spans="2:5" x14ac:dyDescent="0.25">
      <c r="B139" s="9" t="str">
        <f>'Chemicals Eurasia'!B4</f>
        <v>Chemicals Eurasia</v>
      </c>
      <c r="C139" s="24" t="s">
        <v>198</v>
      </c>
      <c r="D139" s="31">
        <f>'Chemicals Eurasia'!D46</f>
        <v>3151</v>
      </c>
      <c r="E139" s="31">
        <f>'Chemicals Eurasia'!E46</f>
        <v>3187</v>
      </c>
    </row>
    <row r="140" spans="2:5" x14ac:dyDescent="0.25">
      <c r="B140" s="9" t="str">
        <f>Corp!B4</f>
        <v>Corporate Centre</v>
      </c>
      <c r="C140" s="24" t="s">
        <v>198</v>
      </c>
      <c r="D140" s="31">
        <f>Corp!D46</f>
        <v>4733</v>
      </c>
      <c r="E140" s="31">
        <f>Corp!E46</f>
        <v>4312</v>
      </c>
    </row>
    <row r="141" spans="2:5" ht="13.8" thickBot="1" x14ac:dyDescent="0.3">
      <c r="B141" s="68" t="s">
        <v>170</v>
      </c>
      <c r="C141" s="28" t="s">
        <v>198</v>
      </c>
      <c r="D141" s="66">
        <f>SUM(D134:D140)</f>
        <v>31429</v>
      </c>
      <c r="E141" s="66">
        <f t="shared" ref="E141" si="31">SUM(E134:E140)</f>
        <v>31001</v>
      </c>
    </row>
  </sheetData>
  <pageMargins left="0.7" right="0.7" top="0.75" bottom="0.75" header="0.3" footer="0.3"/>
  <pageSetup paperSize="9" scale="35" orientation="landscape" r:id="rId1"/>
  <rowBreaks count="1" manualBreakCount="1">
    <brk id="106" max="2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E123"/>
  <sheetViews>
    <sheetView view="pageBreakPreview" zoomScale="80" zoomScaleNormal="80" zoomScaleSheetLayoutView="80" workbookViewId="0">
      <pane xSplit="3" ySplit="4" topLeftCell="D55" activePane="bottomRight" state="frozen"/>
      <selection activeCell="G54" sqref="G54"/>
      <selection pane="topRight" activeCell="G54" sqref="G54"/>
      <selection pane="bottomLeft" activeCell="G54" sqref="G54"/>
      <selection pane="bottomRight" activeCell="D66" sqref="D66"/>
    </sheetView>
  </sheetViews>
  <sheetFormatPr defaultColWidth="9.21875" defaultRowHeight="13.2"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237</v>
      </c>
      <c r="C4" s="23" t="s">
        <v>2</v>
      </c>
      <c r="D4" s="5" t="s">
        <v>234</v>
      </c>
      <c r="E4" s="5" t="s">
        <v>235</v>
      </c>
    </row>
    <row r="5" spans="2:5" x14ac:dyDescent="0.25">
      <c r="D5" s="12"/>
      <c r="E5" s="12"/>
    </row>
    <row r="6" spans="2:5" x14ac:dyDescent="0.25">
      <c r="B6" s="39" t="s">
        <v>4</v>
      </c>
      <c r="D6" s="12"/>
      <c r="E6" s="12"/>
    </row>
    <row r="7" spans="2:5" s="2" customFormat="1" x14ac:dyDescent="0.25">
      <c r="B7" s="2" t="s">
        <v>5</v>
      </c>
      <c r="C7" s="25" t="s">
        <v>37</v>
      </c>
      <c r="D7" s="18">
        <f t="shared" ref="D7:E7" si="0">SUM(D8:D9)</f>
        <v>20876</v>
      </c>
      <c r="E7" s="18">
        <f t="shared" si="0"/>
        <v>19891</v>
      </c>
    </row>
    <row r="8" spans="2:5" x14ac:dyDescent="0.25">
      <c r="B8" s="13" t="s">
        <v>7</v>
      </c>
      <c r="C8" s="26" t="s">
        <v>37</v>
      </c>
      <c r="D8" s="75">
        <v>3222</v>
      </c>
      <c r="E8" s="75">
        <v>1343</v>
      </c>
    </row>
    <row r="9" spans="2:5" x14ac:dyDescent="0.25">
      <c r="B9" s="15" t="s">
        <v>11</v>
      </c>
      <c r="C9" s="27" t="s">
        <v>37</v>
      </c>
      <c r="D9" s="53">
        <v>17654</v>
      </c>
      <c r="E9" s="53">
        <f>19891-E8</f>
        <v>18548</v>
      </c>
    </row>
    <row r="10" spans="2:5" x14ac:dyDescent="0.25">
      <c r="B10" s="9"/>
      <c r="D10" s="12"/>
      <c r="E10" s="12"/>
    </row>
    <row r="11" spans="2:5" x14ac:dyDescent="0.25">
      <c r="B11" s="1" t="s">
        <v>214</v>
      </c>
      <c r="C11" s="24" t="s">
        <v>37</v>
      </c>
      <c r="D11" s="52">
        <f>4701+19+45</f>
        <v>4765</v>
      </c>
      <c r="E11" s="52">
        <f>2756-E12-E14-E17</f>
        <v>2882</v>
      </c>
    </row>
    <row r="12" spans="2:5" x14ac:dyDescent="0.25">
      <c r="B12" s="16" t="s">
        <v>8</v>
      </c>
      <c r="C12" s="27" t="s">
        <v>37</v>
      </c>
      <c r="D12" s="53">
        <v>-19</v>
      </c>
      <c r="E12" s="53">
        <v>-10</v>
      </c>
    </row>
    <row r="13" spans="2:5" s="2" customFormat="1" x14ac:dyDescent="0.25">
      <c r="B13" s="2" t="s">
        <v>215</v>
      </c>
      <c r="C13" s="25" t="s">
        <v>37</v>
      </c>
      <c r="D13" s="18">
        <f t="shared" ref="D13:E13" si="1">SUM(D11:D12)</f>
        <v>4746</v>
      </c>
      <c r="E13" s="18">
        <f t="shared" si="1"/>
        <v>2872</v>
      </c>
    </row>
    <row r="14" spans="2:5" x14ac:dyDescent="0.25">
      <c r="B14" s="1" t="s">
        <v>216</v>
      </c>
      <c r="C14" s="24" t="s">
        <v>37</v>
      </c>
      <c r="D14" s="52">
        <v>0</v>
      </c>
      <c r="E14" s="52">
        <v>-3</v>
      </c>
    </row>
    <row r="15" spans="2:5" x14ac:dyDescent="0.25">
      <c r="B15" s="16" t="s">
        <v>217</v>
      </c>
      <c r="C15" s="27" t="s">
        <v>37</v>
      </c>
      <c r="D15" s="53">
        <v>0</v>
      </c>
      <c r="E15" s="53">
        <v>0</v>
      </c>
    </row>
    <row r="16" spans="2:5" x14ac:dyDescent="0.25">
      <c r="B16" s="1" t="s">
        <v>218</v>
      </c>
      <c r="C16" s="24" t="s">
        <v>37</v>
      </c>
      <c r="D16" s="12">
        <f t="shared" ref="D16:E16" si="2">SUM(D13:D15)</f>
        <v>4746</v>
      </c>
      <c r="E16" s="12">
        <f t="shared" si="2"/>
        <v>2869</v>
      </c>
    </row>
    <row r="17" spans="2:5" x14ac:dyDescent="0.25">
      <c r="B17" s="16" t="s">
        <v>9</v>
      </c>
      <c r="C17" s="27" t="s">
        <v>37</v>
      </c>
      <c r="D17" s="53">
        <v>-45</v>
      </c>
      <c r="E17" s="53">
        <v>-113</v>
      </c>
    </row>
    <row r="18" spans="2:5" s="2" customFormat="1" x14ac:dyDescent="0.25">
      <c r="B18" s="2" t="s">
        <v>392</v>
      </c>
      <c r="C18" s="25" t="s">
        <v>37</v>
      </c>
      <c r="D18" s="18">
        <f t="shared" ref="D18:E18" si="3">SUM(D16:D17)</f>
        <v>4701</v>
      </c>
      <c r="E18" s="18">
        <f t="shared" si="3"/>
        <v>2756</v>
      </c>
    </row>
    <row r="19" spans="2:5" x14ac:dyDescent="0.25">
      <c r="B19" s="1" t="s">
        <v>108</v>
      </c>
      <c r="C19" s="24" t="s">
        <v>37</v>
      </c>
      <c r="D19" s="52">
        <v>1797</v>
      </c>
      <c r="E19" s="52">
        <v>2066</v>
      </c>
    </row>
    <row r="20" spans="2:5" x14ac:dyDescent="0.25">
      <c r="B20" s="1" t="s">
        <v>239</v>
      </c>
      <c r="C20" s="24" t="s">
        <v>37</v>
      </c>
      <c r="D20" s="52">
        <v>8</v>
      </c>
      <c r="E20" s="52">
        <v>14</v>
      </c>
    </row>
    <row r="21" spans="2:5" x14ac:dyDescent="0.25">
      <c r="B21" s="1" t="s">
        <v>9</v>
      </c>
      <c r="C21" s="24" t="s">
        <v>37</v>
      </c>
      <c r="D21" s="52">
        <f t="shared" ref="D21" si="4">-D17</f>
        <v>45</v>
      </c>
      <c r="E21" s="52">
        <f>-E17</f>
        <v>113</v>
      </c>
    </row>
    <row r="22" spans="2:5" x14ac:dyDescent="0.25">
      <c r="B22" s="1" t="s">
        <v>238</v>
      </c>
      <c r="C22" s="24" t="s">
        <v>37</v>
      </c>
      <c r="D22" s="52">
        <v>289</v>
      </c>
      <c r="E22" s="52">
        <v>333</v>
      </c>
    </row>
    <row r="23" spans="2:5" x14ac:dyDescent="0.25">
      <c r="B23" s="1" t="s">
        <v>376</v>
      </c>
      <c r="C23" s="24" t="s">
        <v>37</v>
      </c>
      <c r="D23" s="52">
        <v>3</v>
      </c>
      <c r="E23" s="52">
        <v>0</v>
      </c>
    </row>
    <row r="24" spans="2:5" x14ac:dyDescent="0.25">
      <c r="B24" s="1" t="s">
        <v>243</v>
      </c>
      <c r="C24" s="29" t="s">
        <v>37</v>
      </c>
      <c r="D24" s="52">
        <v>26</v>
      </c>
      <c r="E24" s="52">
        <v>-13</v>
      </c>
    </row>
    <row r="25" spans="2:5" s="2" customFormat="1" ht="13.8" thickBot="1" x14ac:dyDescent="0.3">
      <c r="B25" s="19" t="s">
        <v>244</v>
      </c>
      <c r="C25" s="28" t="s">
        <v>37</v>
      </c>
      <c r="D25" s="20">
        <f>SUM(D18:D24)</f>
        <v>6869</v>
      </c>
      <c r="E25" s="20">
        <f>SUM(E18:E24)</f>
        <v>5269</v>
      </c>
    </row>
    <row r="26" spans="2:5" x14ac:dyDescent="0.25">
      <c r="D26" s="12"/>
      <c r="E26" s="12"/>
    </row>
    <row r="27" spans="2:5" x14ac:dyDescent="0.25">
      <c r="B27" s="39" t="s">
        <v>21</v>
      </c>
      <c r="D27" s="12"/>
      <c r="E27" s="12"/>
    </row>
    <row r="28" spans="2:5" x14ac:dyDescent="0.25">
      <c r="B28" s="1" t="s">
        <v>12</v>
      </c>
      <c r="C28" s="24" t="s">
        <v>37</v>
      </c>
      <c r="D28" s="52">
        <v>23540</v>
      </c>
      <c r="E28" s="159">
        <v>23787</v>
      </c>
    </row>
    <row r="29" spans="2:5" x14ac:dyDescent="0.25">
      <c r="B29" s="1" t="s">
        <v>368</v>
      </c>
      <c r="C29" s="24" t="s">
        <v>37</v>
      </c>
      <c r="D29" s="52">
        <v>0</v>
      </c>
      <c r="E29" s="159">
        <v>10</v>
      </c>
    </row>
    <row r="30" spans="2:5" x14ac:dyDescent="0.25">
      <c r="B30" s="1" t="s">
        <v>13</v>
      </c>
      <c r="C30" s="24" t="s">
        <v>37</v>
      </c>
      <c r="D30" s="52">
        <v>2268</v>
      </c>
      <c r="E30" s="159">
        <v>2530</v>
      </c>
    </row>
    <row r="31" spans="2:5" x14ac:dyDescent="0.25">
      <c r="B31" s="1" t="s">
        <v>219</v>
      </c>
      <c r="C31" s="24" t="s">
        <v>37</v>
      </c>
      <c r="D31" s="52">
        <v>103</v>
      </c>
      <c r="E31" s="159">
        <v>96</v>
      </c>
    </row>
    <row r="32" spans="2:5" x14ac:dyDescent="0.25">
      <c r="B32" s="1" t="s">
        <v>14</v>
      </c>
      <c r="C32" s="24" t="s">
        <v>37</v>
      </c>
      <c r="D32" s="52">
        <v>574</v>
      </c>
      <c r="E32" s="159">
        <v>673</v>
      </c>
    </row>
    <row r="33" spans="2:5" x14ac:dyDescent="0.25">
      <c r="B33" s="1" t="s">
        <v>15</v>
      </c>
      <c r="C33" s="24" t="s">
        <v>37</v>
      </c>
      <c r="D33" s="52">
        <v>1809</v>
      </c>
      <c r="E33" s="159">
        <v>2169</v>
      </c>
    </row>
    <row r="34" spans="2:5" ht="13.8" thickBot="1" x14ac:dyDescent="0.3">
      <c r="B34" s="19" t="s">
        <v>16</v>
      </c>
      <c r="C34" s="28" t="s">
        <v>37</v>
      </c>
      <c r="D34" s="20">
        <f t="shared" ref="D34:E34" si="5">SUM(D28:D33)</f>
        <v>28294</v>
      </c>
      <c r="E34" s="20">
        <f t="shared" si="5"/>
        <v>29265</v>
      </c>
    </row>
    <row r="35" spans="2:5" x14ac:dyDescent="0.25">
      <c r="B35" s="1" t="s">
        <v>17</v>
      </c>
      <c r="C35" s="24" t="s">
        <v>37</v>
      </c>
      <c r="D35" s="159">
        <v>1701</v>
      </c>
      <c r="E35" s="159">
        <v>1815</v>
      </c>
    </row>
    <row r="36" spans="2:5" x14ac:dyDescent="0.25">
      <c r="B36" s="1" t="s">
        <v>18</v>
      </c>
      <c r="C36" s="24" t="s">
        <v>37</v>
      </c>
      <c r="D36" s="159">
        <v>2601</v>
      </c>
      <c r="E36" s="159">
        <v>2286</v>
      </c>
    </row>
    <row r="37" spans="2:5" ht="13.8" thickBot="1" x14ac:dyDescent="0.3">
      <c r="B37" s="19" t="s">
        <v>19</v>
      </c>
      <c r="C37" s="28" t="s">
        <v>37</v>
      </c>
      <c r="D37" s="20">
        <f t="shared" ref="D37:E37" si="6">SUM(D35:D36)</f>
        <v>4302</v>
      </c>
      <c r="E37" s="20">
        <f t="shared" si="6"/>
        <v>4101</v>
      </c>
    </row>
    <row r="38" spans="2:5" x14ac:dyDescent="0.25">
      <c r="D38" s="12"/>
      <c r="E38" s="12"/>
    </row>
    <row r="39" spans="2:5" x14ac:dyDescent="0.25">
      <c r="B39" s="39" t="s">
        <v>20</v>
      </c>
      <c r="D39" s="12"/>
      <c r="E39" s="12"/>
    </row>
    <row r="40" spans="2:5" x14ac:dyDescent="0.25">
      <c r="B40" s="16" t="s">
        <v>223</v>
      </c>
      <c r="C40" s="27" t="s">
        <v>37</v>
      </c>
      <c r="D40" s="53">
        <v>2912</v>
      </c>
      <c r="E40" s="122">
        <v>2859</v>
      </c>
    </row>
    <row r="41" spans="2:5" x14ac:dyDescent="0.25">
      <c r="D41" s="12"/>
      <c r="E41" s="12"/>
    </row>
    <row r="42" spans="2:5" x14ac:dyDescent="0.25">
      <c r="B42" s="2" t="s">
        <v>22</v>
      </c>
      <c r="D42" s="12"/>
      <c r="E42" s="12"/>
    </row>
    <row r="43" spans="2:5" x14ac:dyDescent="0.25">
      <c r="B43" s="1" t="s">
        <v>220</v>
      </c>
      <c r="C43" s="24" t="s">
        <v>37</v>
      </c>
      <c r="D43" s="52">
        <v>2372</v>
      </c>
      <c r="E43" s="159">
        <v>2352</v>
      </c>
    </row>
    <row r="44" spans="2:5" x14ac:dyDescent="0.25">
      <c r="B44" s="1" t="s">
        <v>221</v>
      </c>
      <c r="C44" s="24" t="s">
        <v>37</v>
      </c>
      <c r="D44" s="52">
        <v>0</v>
      </c>
      <c r="E44" s="159">
        <v>0</v>
      </c>
    </row>
    <row r="45" spans="2:5" x14ac:dyDescent="0.25">
      <c r="D45" s="12"/>
      <c r="E45" s="137"/>
    </row>
    <row r="46" spans="2:5" x14ac:dyDescent="0.25">
      <c r="B46" s="16" t="s">
        <v>23</v>
      </c>
      <c r="C46" s="27" t="s">
        <v>198</v>
      </c>
      <c r="D46" s="53">
        <v>7402</v>
      </c>
      <c r="E46" s="53">
        <v>7433</v>
      </c>
    </row>
    <row r="47" spans="2:5" x14ac:dyDescent="0.25">
      <c r="D47" s="12"/>
      <c r="E47" s="12"/>
    </row>
    <row r="48" spans="2:5" x14ac:dyDescent="0.25">
      <c r="B48" s="39" t="s">
        <v>54</v>
      </c>
      <c r="D48" s="12"/>
      <c r="E48" s="12"/>
    </row>
    <row r="49" spans="1:5" x14ac:dyDescent="0.25">
      <c r="D49" s="12"/>
      <c r="E49" s="12"/>
    </row>
    <row r="50" spans="1:5" x14ac:dyDescent="0.25">
      <c r="B50" s="2" t="s">
        <v>192</v>
      </c>
      <c r="D50" s="12"/>
      <c r="E50" s="12"/>
    </row>
    <row r="51" spans="1:5" x14ac:dyDescent="0.25">
      <c r="B51" s="1" t="str">
        <f>Assumptions!B7</f>
        <v>R/US$ exchange rate - avg</v>
      </c>
      <c r="C51" s="24" t="str">
        <f>Assumptions!C7</f>
        <v>R:1US$</v>
      </c>
      <c r="D51" s="35">
        <f>Assumptions!E7</f>
        <v>14.2</v>
      </c>
      <c r="E51" s="35">
        <f>Assumptions!F7</f>
        <v>15.69</v>
      </c>
    </row>
    <row r="52" spans="1:5" x14ac:dyDescent="0.25">
      <c r="B52" s="1" t="str">
        <f>Assumptions!B15</f>
        <v>Coal export price (FOB Richards Bay)</v>
      </c>
      <c r="C52" s="24" t="str">
        <f>Assumptions!C15</f>
        <v>US$/ton</v>
      </c>
      <c r="D52" s="146">
        <f>Assumptions!E15</f>
        <v>86.61</v>
      </c>
      <c r="E52" s="146">
        <f>Assumptions!F15</f>
        <v>67.53</v>
      </c>
    </row>
    <row r="53" spans="1:5" x14ac:dyDescent="0.25">
      <c r="B53" s="1" t="s">
        <v>367</v>
      </c>
      <c r="C53" s="24" t="s">
        <v>40</v>
      </c>
      <c r="D53" s="49">
        <f>Assumptions!E16</f>
        <v>0.05</v>
      </c>
      <c r="E53" s="49">
        <f>Assumptions!F16</f>
        <v>0.15</v>
      </c>
    </row>
    <row r="54" spans="1:5" x14ac:dyDescent="0.25">
      <c r="D54" s="12"/>
      <c r="E54" s="12"/>
    </row>
    <row r="55" spans="1:5" x14ac:dyDescent="0.25">
      <c r="B55" s="2" t="s">
        <v>178</v>
      </c>
      <c r="D55" s="12"/>
      <c r="E55" s="12"/>
    </row>
    <row r="56" spans="1:5" x14ac:dyDescent="0.25">
      <c r="B56" s="9" t="s">
        <v>179</v>
      </c>
      <c r="C56" s="24" t="s">
        <v>36</v>
      </c>
      <c r="D56" s="78">
        <v>36.1</v>
      </c>
      <c r="E56" s="78">
        <v>36.1</v>
      </c>
    </row>
    <row r="57" spans="1:5" x14ac:dyDescent="0.25">
      <c r="D57" s="12"/>
      <c r="E57" s="12"/>
    </row>
    <row r="58" spans="1:5" s="2" customFormat="1" x14ac:dyDescent="0.25">
      <c r="B58" s="2" t="s">
        <v>34</v>
      </c>
      <c r="C58" s="25" t="s">
        <v>36</v>
      </c>
      <c r="D58" s="45">
        <f t="shared" ref="D58:E58" si="7">SUM(D59:D60)</f>
        <v>42.300000000000004</v>
      </c>
      <c r="E58" s="45">
        <f t="shared" si="7"/>
        <v>41.1</v>
      </c>
    </row>
    <row r="59" spans="1:5" x14ac:dyDescent="0.25">
      <c r="B59" s="9" t="s">
        <v>35</v>
      </c>
      <c r="C59" s="24" t="s">
        <v>36</v>
      </c>
      <c r="D59" s="78">
        <v>3.2</v>
      </c>
      <c r="E59" s="78">
        <v>1.9</v>
      </c>
    </row>
    <row r="60" spans="1:5" x14ac:dyDescent="0.25">
      <c r="B60" s="9" t="s">
        <v>6</v>
      </c>
      <c r="C60" s="24" t="s">
        <v>36</v>
      </c>
      <c r="D60" s="11">
        <f t="shared" ref="D60:E60" si="8">SUM(D61:D62)</f>
        <v>39.1</v>
      </c>
      <c r="E60" s="11">
        <f t="shared" si="8"/>
        <v>39.200000000000003</v>
      </c>
    </row>
    <row r="61" spans="1:5" x14ac:dyDescent="0.25">
      <c r="A61" s="42"/>
      <c r="B61" s="41" t="s">
        <v>267</v>
      </c>
      <c r="C61" s="29" t="s">
        <v>36</v>
      </c>
      <c r="D61" s="79">
        <v>22.6</v>
      </c>
      <c r="E61" s="79">
        <v>23.5</v>
      </c>
    </row>
    <row r="62" spans="1:5" x14ac:dyDescent="0.25">
      <c r="A62" s="42"/>
      <c r="B62" s="41" t="s">
        <v>391</v>
      </c>
      <c r="C62" s="29" t="s">
        <v>36</v>
      </c>
      <c r="D62" s="81">
        <v>16.5</v>
      </c>
      <c r="E62" s="81">
        <v>15.7</v>
      </c>
    </row>
    <row r="63" spans="1:5" x14ac:dyDescent="0.25">
      <c r="D63" s="12"/>
      <c r="E63" s="12"/>
    </row>
    <row r="64" spans="1:5" x14ac:dyDescent="0.25">
      <c r="B64" s="2" t="s">
        <v>47</v>
      </c>
      <c r="C64" s="24" t="s">
        <v>36</v>
      </c>
      <c r="D64" s="80">
        <v>5.2</v>
      </c>
      <c r="E64" s="80">
        <v>6.5</v>
      </c>
    </row>
    <row r="65" spans="2:5" x14ac:dyDescent="0.25">
      <c r="D65" s="12"/>
      <c r="E65" s="12"/>
    </row>
    <row r="66" spans="2:5" x14ac:dyDescent="0.25">
      <c r="B66" s="2" t="s">
        <v>396</v>
      </c>
      <c r="C66" s="24" t="s">
        <v>40</v>
      </c>
      <c r="D66" s="165">
        <v>0.67</v>
      </c>
      <c r="E66" s="165">
        <v>0.64</v>
      </c>
    </row>
    <row r="67" spans="2:5" x14ac:dyDescent="0.25">
      <c r="B67" s="2" t="s">
        <v>400</v>
      </c>
      <c r="C67" s="24" t="s">
        <v>37</v>
      </c>
      <c r="D67" s="166">
        <v>6984</v>
      </c>
      <c r="E67" s="166">
        <v>7501</v>
      </c>
    </row>
    <row r="68" spans="2:5" x14ac:dyDescent="0.25">
      <c r="D68" s="12"/>
      <c r="E68" s="12"/>
    </row>
    <row r="69" spans="2:5" x14ac:dyDescent="0.25">
      <c r="B69" s="2" t="s">
        <v>177</v>
      </c>
      <c r="C69" s="24" t="s">
        <v>40</v>
      </c>
      <c r="D69" s="165">
        <v>0.28999999999999998</v>
      </c>
      <c r="E69" s="165">
        <v>0.3</v>
      </c>
    </row>
    <row r="70" spans="2:5" x14ac:dyDescent="0.25">
      <c r="D70" s="12"/>
      <c r="E70" s="12"/>
    </row>
    <row r="71" spans="2:5" x14ac:dyDescent="0.25">
      <c r="B71" s="39" t="s">
        <v>38</v>
      </c>
      <c r="D71" s="12"/>
      <c r="E71" s="12"/>
    </row>
    <row r="72" spans="2:5" x14ac:dyDescent="0.25">
      <c r="B72" s="9" t="s">
        <v>39</v>
      </c>
      <c r="C72" s="24" t="s">
        <v>37</v>
      </c>
      <c r="D72" s="12">
        <f>D51*(D52*(1-D53))*D59</f>
        <v>3738.7804799999999</v>
      </c>
      <c r="E72" s="12">
        <f>E51*(E52*(1-E53))*E59</f>
        <v>1711.1663054999999</v>
      </c>
    </row>
    <row r="73" spans="2:5" x14ac:dyDescent="0.25">
      <c r="B73" s="9" t="s">
        <v>41</v>
      </c>
      <c r="C73" s="24" t="s">
        <v>37</v>
      </c>
      <c r="D73" s="31">
        <f>D8</f>
        <v>3222</v>
      </c>
      <c r="E73" s="31">
        <f>E8</f>
        <v>1343</v>
      </c>
    </row>
    <row r="74" spans="2:5" x14ac:dyDescent="0.25">
      <c r="B74" s="9" t="s">
        <v>42</v>
      </c>
      <c r="C74" s="24" t="s">
        <v>40</v>
      </c>
      <c r="D74" s="32">
        <f t="shared" ref="D74:E74" si="9">D73/D72-1</f>
        <v>-0.13822166954289861</v>
      </c>
      <c r="E74" s="32">
        <f t="shared" si="9"/>
        <v>-0.21515518644602016</v>
      </c>
    </row>
    <row r="76" spans="2:5" x14ac:dyDescent="0.25">
      <c r="B76" s="9" t="s">
        <v>43</v>
      </c>
      <c r="C76" s="24" t="s">
        <v>37</v>
      </c>
      <c r="D76" s="31">
        <f>D9</f>
        <v>17654</v>
      </c>
      <c r="E76" s="31">
        <f>E9</f>
        <v>18548</v>
      </c>
    </row>
    <row r="77" spans="2:5" x14ac:dyDescent="0.25">
      <c r="B77" s="9" t="s">
        <v>44</v>
      </c>
      <c r="C77" s="24" t="s">
        <v>45</v>
      </c>
      <c r="D77" s="31">
        <f>D76/D60</f>
        <v>451.5089514066496</v>
      </c>
      <c r="E77" s="31">
        <f>E76/E60</f>
        <v>473.16326530612241</v>
      </c>
    </row>
    <row r="78" spans="2:5" x14ac:dyDescent="0.25">
      <c r="B78" s="9" t="s">
        <v>46</v>
      </c>
      <c r="C78" s="24" t="s">
        <v>40</v>
      </c>
      <c r="D78" s="32"/>
      <c r="E78" s="32">
        <f>E77/D77-1</f>
        <v>4.795987727820239E-2</v>
      </c>
    </row>
    <row r="80" spans="2:5" s="162" customFormat="1" x14ac:dyDescent="0.25">
      <c r="B80" s="127" t="s">
        <v>413</v>
      </c>
      <c r="C80" s="112"/>
      <c r="D80" s="136">
        <f>(D84-D91)/D56</f>
        <v>309.9607795906511</v>
      </c>
      <c r="E80" s="136">
        <f>(E84-E91)/E56</f>
        <v>302.80682910283224</v>
      </c>
    </row>
    <row r="81" spans="2:5" s="162" customFormat="1" x14ac:dyDescent="0.25">
      <c r="B81" s="127" t="s">
        <v>412</v>
      </c>
      <c r="C81" s="112" t="s">
        <v>45</v>
      </c>
      <c r="D81" s="159">
        <v>313</v>
      </c>
      <c r="E81" s="159">
        <v>347</v>
      </c>
    </row>
    <row r="82" spans="2:5" s="162" customFormat="1" x14ac:dyDescent="0.25">
      <c r="B82" s="127" t="s">
        <v>42</v>
      </c>
      <c r="C82" s="112" t="s">
        <v>40</v>
      </c>
      <c r="D82" s="49">
        <f>(D80-D81)/D81</f>
        <v>-9.7099693589421717E-3</v>
      </c>
      <c r="E82" s="49">
        <f>(E80-E81)/E81</f>
        <v>-0.12735784120221258</v>
      </c>
    </row>
    <row r="84" spans="2:5" x14ac:dyDescent="0.25">
      <c r="B84" s="9" t="s">
        <v>74</v>
      </c>
      <c r="C84" s="24" t="s">
        <v>37</v>
      </c>
      <c r="D84" s="31">
        <f>D7-D25</f>
        <v>14007</v>
      </c>
      <c r="E84" s="31">
        <f>E7-E25</f>
        <v>14622</v>
      </c>
    </row>
    <row r="85" spans="2:5" x14ac:dyDescent="0.25">
      <c r="B85" s="9" t="s">
        <v>397</v>
      </c>
      <c r="C85" s="24" t="s">
        <v>37</v>
      </c>
      <c r="D85" s="153">
        <f>D89</f>
        <v>6889.079999999999</v>
      </c>
      <c r="E85" s="153">
        <f>E89</f>
        <v>7160.7599999999993</v>
      </c>
    </row>
    <row r="86" spans="2:5" x14ac:dyDescent="0.25">
      <c r="B86" s="9" t="s">
        <v>399</v>
      </c>
      <c r="C86" s="24" t="s">
        <v>37</v>
      </c>
      <c r="D86" s="48">
        <f>D97</f>
        <v>6984</v>
      </c>
      <c r="E86" s="48">
        <f>E97</f>
        <v>7501</v>
      </c>
    </row>
    <row r="87" spans="2:5" x14ac:dyDescent="0.25">
      <c r="B87" s="9" t="s">
        <v>51</v>
      </c>
      <c r="C87" s="24" t="s">
        <v>37</v>
      </c>
      <c r="D87" s="47">
        <f>D84-D85-D86</f>
        <v>133.92000000000098</v>
      </c>
      <c r="E87" s="47">
        <f>E84-E85-E86</f>
        <v>-39.759999999999309</v>
      </c>
    </row>
    <row r="88" spans="2:5" x14ac:dyDescent="0.25">
      <c r="B88" s="9"/>
      <c r="D88" s="32"/>
      <c r="E88" s="32"/>
    </row>
    <row r="89" spans="2:5" x14ac:dyDescent="0.25">
      <c r="B89" s="9" t="s">
        <v>409</v>
      </c>
      <c r="C89" s="24" t="s">
        <v>37</v>
      </c>
      <c r="D89" s="31">
        <f>D7*(1-D66)</f>
        <v>6889.079999999999</v>
      </c>
      <c r="E89" s="31">
        <f>E7*(1-E66)</f>
        <v>7160.7599999999993</v>
      </c>
    </row>
    <row r="90" spans="2:5" x14ac:dyDescent="0.25">
      <c r="B90" s="9" t="s">
        <v>408</v>
      </c>
      <c r="C90" s="24" t="s">
        <v>37</v>
      </c>
      <c r="D90" s="47">
        <f>SUM(D91:D91)</f>
        <v>2817.4158567774939</v>
      </c>
      <c r="E90" s="47">
        <f>SUM(E91:E91)</f>
        <v>3690.6734693877547</v>
      </c>
    </row>
    <row r="91" spans="2:5" x14ac:dyDescent="0.25">
      <c r="B91" s="9" t="s">
        <v>407</v>
      </c>
      <c r="C91" s="24" t="s">
        <v>37</v>
      </c>
      <c r="D91" s="168">
        <f>D64*D95</f>
        <v>2817.4158567774939</v>
      </c>
      <c r="E91" s="168">
        <f>E64*E95</f>
        <v>3690.6734693877547</v>
      </c>
    </row>
    <row r="92" spans="2:5" x14ac:dyDescent="0.25">
      <c r="B92" s="9" t="s">
        <v>398</v>
      </c>
      <c r="C92" s="24" t="s">
        <v>37</v>
      </c>
      <c r="D92" s="121">
        <f>D89-D90</f>
        <v>4071.6641432225051</v>
      </c>
      <c r="E92" s="121">
        <f>E89-E90</f>
        <v>3470.0865306122446</v>
      </c>
    </row>
    <row r="93" spans="2:5" x14ac:dyDescent="0.25">
      <c r="B93" s="9" t="s">
        <v>227</v>
      </c>
      <c r="C93" s="24" t="s">
        <v>40</v>
      </c>
      <c r="D93" s="32"/>
      <c r="E93" s="32">
        <f>E92/D92-1</f>
        <v>-0.14774735622819424</v>
      </c>
    </row>
    <row r="94" spans="2:5" x14ac:dyDescent="0.25">
      <c r="B94" s="9"/>
      <c r="D94" s="32"/>
      <c r="E94" s="32"/>
    </row>
    <row r="95" spans="2:5" x14ac:dyDescent="0.25">
      <c r="B95" s="1" t="s">
        <v>180</v>
      </c>
      <c r="C95" s="24" t="s">
        <v>45</v>
      </c>
      <c r="D95" s="123">
        <f>D77*(1+20%)</f>
        <v>541.81074168797954</v>
      </c>
      <c r="E95" s="123">
        <f>E77*(1+20%)</f>
        <v>567.79591836734687</v>
      </c>
    </row>
    <row r="97" spans="2:5" x14ac:dyDescent="0.25">
      <c r="B97" s="9" t="s">
        <v>399</v>
      </c>
      <c r="C97" s="24" t="s">
        <v>37</v>
      </c>
      <c r="D97" s="121">
        <f>D67</f>
        <v>6984</v>
      </c>
      <c r="E97" s="121">
        <f>E67</f>
        <v>7501</v>
      </c>
    </row>
    <row r="98" spans="2:5" x14ac:dyDescent="0.25">
      <c r="B98" s="9" t="s">
        <v>227</v>
      </c>
      <c r="C98" s="24" t="s">
        <v>40</v>
      </c>
      <c r="D98" s="32"/>
      <c r="E98" s="32">
        <f t="shared" ref="E98" si="10">E97/D97-1</f>
        <v>7.4026345933562387E-2</v>
      </c>
    </row>
    <row r="100" spans="2:5" x14ac:dyDescent="0.25">
      <c r="B100" s="1" t="s">
        <v>48</v>
      </c>
      <c r="C100" s="37" t="s">
        <v>228</v>
      </c>
    </row>
    <row r="101" spans="2:5" x14ac:dyDescent="0.25">
      <c r="B101" s="9" t="s">
        <v>211</v>
      </c>
      <c r="C101" s="171">
        <v>0.27</v>
      </c>
      <c r="D101" s="83"/>
      <c r="E101" s="83"/>
    </row>
    <row r="102" spans="2:5" x14ac:dyDescent="0.25">
      <c r="B102" s="9" t="s">
        <v>49</v>
      </c>
      <c r="C102" s="171">
        <v>0.35</v>
      </c>
      <c r="D102" s="83"/>
      <c r="E102" s="83"/>
    </row>
    <row r="103" spans="2:5" x14ac:dyDescent="0.25">
      <c r="B103" s="9" t="s">
        <v>50</v>
      </c>
      <c r="C103" s="171">
        <v>0.2</v>
      </c>
      <c r="D103" s="83"/>
      <c r="E103" s="83"/>
    </row>
    <row r="104" spans="2:5" x14ac:dyDescent="0.25">
      <c r="B104" s="9" t="s">
        <v>51</v>
      </c>
      <c r="C104" s="171">
        <v>0.18</v>
      </c>
      <c r="D104" s="83"/>
      <c r="E104" s="83"/>
    </row>
    <row r="105" spans="2:5" x14ac:dyDescent="0.25">
      <c r="B105" s="1" t="s">
        <v>53</v>
      </c>
      <c r="C105" s="44">
        <f>SUM(C101:C104)</f>
        <v>1</v>
      </c>
      <c r="D105" s="74">
        <f t="shared" ref="D105:E105" si="11">($C101*D101)+($C102*D102)+($C103*D103)+($C104*D104)</f>
        <v>0</v>
      </c>
      <c r="E105" s="74">
        <f t="shared" si="11"/>
        <v>0</v>
      </c>
    </row>
    <row r="107" spans="2:5" x14ac:dyDescent="0.25">
      <c r="B107" s="1" t="s">
        <v>199</v>
      </c>
      <c r="C107" s="24" t="s">
        <v>40</v>
      </c>
      <c r="D107" s="32"/>
      <c r="E107" s="32">
        <f>E46/D46-1</f>
        <v>4.1880572818158157E-3</v>
      </c>
    </row>
    <row r="109" spans="2:5" x14ac:dyDescent="0.25">
      <c r="B109" s="9" t="s">
        <v>55</v>
      </c>
      <c r="C109" s="24" t="s">
        <v>40</v>
      </c>
      <c r="D109" s="32">
        <f>D33/D7</f>
        <v>8.6654531519448172E-2</v>
      </c>
      <c r="E109" s="32">
        <f>E33/E7</f>
        <v>0.10904429138806496</v>
      </c>
    </row>
    <row r="110" spans="2:5" x14ac:dyDescent="0.25">
      <c r="B110" s="9"/>
    </row>
    <row r="111" spans="2:5" x14ac:dyDescent="0.25">
      <c r="B111" s="9" t="s">
        <v>56</v>
      </c>
      <c r="C111" s="24" t="s">
        <v>40</v>
      </c>
      <c r="D111" s="32">
        <f>D36/D7</f>
        <v>0.1245928338762215</v>
      </c>
      <c r="E111" s="32">
        <f>E36/E7</f>
        <v>0.11492634859986929</v>
      </c>
    </row>
    <row r="113" spans="2:5" x14ac:dyDescent="0.25">
      <c r="B113" s="9" t="s">
        <v>52</v>
      </c>
      <c r="C113" s="24" t="s">
        <v>40</v>
      </c>
      <c r="D113" s="32">
        <f>D40/D7</f>
        <v>0.13949032381682314</v>
      </c>
      <c r="E113" s="32">
        <f>E40/E7</f>
        <v>0.14373334673973154</v>
      </c>
    </row>
    <row r="115" spans="2:5" x14ac:dyDescent="0.25">
      <c r="B115" s="9" t="s">
        <v>187</v>
      </c>
    </row>
    <row r="116" spans="2:5" x14ac:dyDescent="0.25">
      <c r="B116" s="9" t="s">
        <v>190</v>
      </c>
      <c r="C116" s="24" t="s">
        <v>40</v>
      </c>
      <c r="D116" s="32">
        <f t="shared" ref="D116:E116" si="12">D120/D123</f>
        <v>0.13911762254084695</v>
      </c>
      <c r="E116" s="32">
        <f t="shared" si="12"/>
        <v>7.6665077094261638E-2</v>
      </c>
    </row>
    <row r="117" spans="2:5" x14ac:dyDescent="0.25">
      <c r="B117" s="9"/>
    </row>
    <row r="118" spans="2:5" x14ac:dyDescent="0.25">
      <c r="B118" s="1" t="s">
        <v>191</v>
      </c>
      <c r="C118" s="24" t="s">
        <v>37</v>
      </c>
      <c r="D118" s="31">
        <f>D18</f>
        <v>4701</v>
      </c>
      <c r="E118" s="31">
        <f>E18</f>
        <v>2756</v>
      </c>
    </row>
    <row r="119" spans="2:5" x14ac:dyDescent="0.25">
      <c r="B119" s="1" t="s">
        <v>177</v>
      </c>
      <c r="C119" s="24" t="s">
        <v>40</v>
      </c>
      <c r="D119" s="38">
        <f>D69</f>
        <v>0.28999999999999998</v>
      </c>
      <c r="E119" s="38">
        <f>E69</f>
        <v>0.3</v>
      </c>
    </row>
    <row r="120" spans="2:5" x14ac:dyDescent="0.25">
      <c r="B120" s="1" t="s">
        <v>186</v>
      </c>
      <c r="C120" s="24" t="s">
        <v>37</v>
      </c>
      <c r="D120" s="31">
        <f t="shared" ref="D120:E120" si="13">D118*(1-D119)</f>
        <v>3337.71</v>
      </c>
      <c r="E120" s="31">
        <f t="shared" si="13"/>
        <v>1929.1999999999998</v>
      </c>
    </row>
    <row r="121" spans="2:5" x14ac:dyDescent="0.25">
      <c r="D121" s="31"/>
      <c r="E121" s="31"/>
    </row>
    <row r="122" spans="2:5" x14ac:dyDescent="0.25">
      <c r="B122" s="1" t="s">
        <v>188</v>
      </c>
      <c r="C122" s="24" t="s">
        <v>37</v>
      </c>
      <c r="D122" s="31">
        <f>D34-D37</f>
        <v>23992</v>
      </c>
      <c r="E122" s="31">
        <f>E34-E37</f>
        <v>25164</v>
      </c>
    </row>
    <row r="123" spans="2:5" x14ac:dyDescent="0.25">
      <c r="B123" s="1" t="s">
        <v>189</v>
      </c>
      <c r="C123" s="24" t="s">
        <v>37</v>
      </c>
      <c r="D123" s="31">
        <f>AVERAGE(D122:D122)</f>
        <v>23992</v>
      </c>
      <c r="E123" s="31">
        <f>AVERAGE(E122:E122)</f>
        <v>25164</v>
      </c>
    </row>
  </sheetData>
  <pageMargins left="0.7" right="0.7" top="0.75" bottom="0.75" header="0.3" footer="0.3"/>
  <pageSetup paperSize="9" scale="2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B1:F182"/>
  <sheetViews>
    <sheetView tabSelected="1" view="pageBreakPreview" zoomScale="80" zoomScaleNormal="80" zoomScaleSheetLayoutView="80" workbookViewId="0">
      <pane xSplit="3" ySplit="4" topLeftCell="D67" activePane="bottomRight" state="frozen"/>
      <selection activeCell="B31" sqref="B31"/>
      <selection pane="topRight" activeCell="B31" sqref="B31"/>
      <selection pane="bottomLeft" activeCell="B31" sqref="B31"/>
      <selection pane="bottomRight" activeCell="E92" sqref="E92"/>
    </sheetView>
  </sheetViews>
  <sheetFormatPr defaultColWidth="9.21875" defaultRowHeight="13.2"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127</v>
      </c>
      <c r="C4" s="23" t="s">
        <v>2</v>
      </c>
      <c r="D4" s="5" t="s">
        <v>234</v>
      </c>
      <c r="E4" s="5" t="s">
        <v>235</v>
      </c>
    </row>
    <row r="5" spans="2:5" x14ac:dyDescent="0.25">
      <c r="D5" s="12"/>
      <c r="E5" s="12"/>
    </row>
    <row r="6" spans="2:5" x14ac:dyDescent="0.25">
      <c r="B6" s="39" t="s">
        <v>4</v>
      </c>
      <c r="D6" s="12"/>
      <c r="E6" s="12"/>
    </row>
    <row r="7" spans="2:5" s="2" customFormat="1" x14ac:dyDescent="0.25">
      <c r="B7" s="2" t="s">
        <v>5</v>
      </c>
      <c r="C7" s="25" t="s">
        <v>37</v>
      </c>
      <c r="D7" s="18">
        <f t="shared" ref="D7" si="0">SUM(D8:D9)</f>
        <v>12665</v>
      </c>
      <c r="E7" s="18">
        <f t="shared" ref="E7" si="1">SUM(E8:E9)</f>
        <v>12419</v>
      </c>
    </row>
    <row r="8" spans="2:5" x14ac:dyDescent="0.25">
      <c r="B8" s="13" t="s">
        <v>7</v>
      </c>
      <c r="C8" s="26" t="s">
        <v>37</v>
      </c>
      <c r="D8" s="75">
        <v>8316</v>
      </c>
      <c r="E8" s="75">
        <v>8350</v>
      </c>
    </row>
    <row r="9" spans="2:5" x14ac:dyDescent="0.25">
      <c r="B9" s="15" t="s">
        <v>11</v>
      </c>
      <c r="C9" s="27" t="s">
        <v>37</v>
      </c>
      <c r="D9" s="53">
        <v>4349</v>
      </c>
      <c r="E9" s="53">
        <v>4069</v>
      </c>
    </row>
    <row r="10" spans="2:5" x14ac:dyDescent="0.25">
      <c r="B10" s="9"/>
      <c r="D10" s="12"/>
      <c r="E10" s="12"/>
    </row>
    <row r="11" spans="2:5" x14ac:dyDescent="0.25">
      <c r="B11" s="1" t="s">
        <v>214</v>
      </c>
      <c r="C11" s="24" t="s">
        <v>37</v>
      </c>
      <c r="D11" s="52">
        <f>3948-D12-D17</f>
        <v>6010</v>
      </c>
      <c r="E11" s="52">
        <f>5527-E12-E17</f>
        <v>5959</v>
      </c>
    </row>
    <row r="12" spans="2:5" x14ac:dyDescent="0.25">
      <c r="B12" s="16" t="s">
        <v>8</v>
      </c>
      <c r="C12" s="27" t="s">
        <v>37</v>
      </c>
      <c r="D12" s="53">
        <v>-85</v>
      </c>
      <c r="E12" s="53">
        <v>-462</v>
      </c>
    </row>
    <row r="13" spans="2:5" s="94" customFormat="1" x14ac:dyDescent="0.25">
      <c r="B13" s="94" t="s">
        <v>215</v>
      </c>
      <c r="C13" s="95" t="s">
        <v>37</v>
      </c>
      <c r="D13" s="96">
        <f t="shared" ref="D13" si="2">SUM(D11:D12)</f>
        <v>5925</v>
      </c>
      <c r="E13" s="96">
        <f t="shared" ref="E13" si="3">SUM(E11:E12)</f>
        <v>5497</v>
      </c>
    </row>
    <row r="14" spans="2:5" s="97" customFormat="1" x14ac:dyDescent="0.25">
      <c r="B14" s="97" t="s">
        <v>216</v>
      </c>
      <c r="C14" s="24" t="s">
        <v>37</v>
      </c>
      <c r="D14" s="100">
        <v>0</v>
      </c>
      <c r="E14" s="100">
        <v>0</v>
      </c>
    </row>
    <row r="15" spans="2:5" s="97" customFormat="1" x14ac:dyDescent="0.25">
      <c r="B15" s="99" t="s">
        <v>217</v>
      </c>
      <c r="C15" s="27" t="s">
        <v>37</v>
      </c>
      <c r="D15" s="101">
        <v>0</v>
      </c>
      <c r="E15" s="101">
        <v>0</v>
      </c>
    </row>
    <row r="16" spans="2:5" s="97" customFormat="1" x14ac:dyDescent="0.25">
      <c r="B16" s="97" t="s">
        <v>218</v>
      </c>
      <c r="C16" s="24" t="s">
        <v>37</v>
      </c>
      <c r="D16" s="98">
        <f t="shared" ref="D16" si="4">SUM(D13:D15)</f>
        <v>5925</v>
      </c>
      <c r="E16" s="98">
        <f t="shared" ref="E16" si="5">SUM(E13:E15)</f>
        <v>5497</v>
      </c>
    </row>
    <row r="17" spans="2:5" x14ac:dyDescent="0.25">
      <c r="B17" s="16" t="s">
        <v>9</v>
      </c>
      <c r="C17" s="27" t="s">
        <v>37</v>
      </c>
      <c r="D17" s="53">
        <v>-1977</v>
      </c>
      <c r="E17" s="53">
        <v>30</v>
      </c>
    </row>
    <row r="18" spans="2:5" s="2" customFormat="1" x14ac:dyDescent="0.25">
      <c r="B18" s="2" t="s">
        <v>392</v>
      </c>
      <c r="C18" s="25" t="s">
        <v>37</v>
      </c>
      <c r="D18" s="18">
        <f t="shared" ref="D18" si="6">SUM(D16:D17)</f>
        <v>3948</v>
      </c>
      <c r="E18" s="18">
        <f t="shared" ref="E18" si="7">SUM(E16:E17)</f>
        <v>5527</v>
      </c>
    </row>
    <row r="19" spans="2:5" x14ac:dyDescent="0.25">
      <c r="B19" s="1" t="s">
        <v>108</v>
      </c>
      <c r="C19" s="24" t="s">
        <v>37</v>
      </c>
      <c r="D19" s="52">
        <v>2059</v>
      </c>
      <c r="E19" s="52">
        <v>1803</v>
      </c>
    </row>
    <row r="20" spans="2:5" x14ac:dyDescent="0.25">
      <c r="B20" s="1" t="s">
        <v>239</v>
      </c>
      <c r="C20" s="24" t="s">
        <v>37</v>
      </c>
      <c r="D20" s="52">
        <v>41</v>
      </c>
      <c r="E20" s="52">
        <v>199</v>
      </c>
    </row>
    <row r="21" spans="2:5" x14ac:dyDescent="0.25">
      <c r="B21" s="1" t="s">
        <v>9</v>
      </c>
      <c r="C21" s="24" t="s">
        <v>37</v>
      </c>
      <c r="D21" s="52">
        <f t="shared" ref="D21" si="8">-D17</f>
        <v>1977</v>
      </c>
      <c r="E21" s="52">
        <f t="shared" ref="E21" si="9">-E17</f>
        <v>-30</v>
      </c>
    </row>
    <row r="22" spans="2:5" x14ac:dyDescent="0.25">
      <c r="B22" s="1" t="s">
        <v>238</v>
      </c>
      <c r="C22" s="24" t="s">
        <v>37</v>
      </c>
      <c r="D22" s="52">
        <v>41</v>
      </c>
      <c r="E22" s="52">
        <v>58</v>
      </c>
    </row>
    <row r="23" spans="2:5" x14ac:dyDescent="0.25">
      <c r="B23" s="1" t="s">
        <v>376</v>
      </c>
      <c r="C23" s="24" t="s">
        <v>37</v>
      </c>
      <c r="D23" s="52">
        <f>57-10</f>
        <v>47</v>
      </c>
      <c r="E23" s="52">
        <f>560+97</f>
        <v>657</v>
      </c>
    </row>
    <row r="24" spans="2:5" x14ac:dyDescent="0.25">
      <c r="B24" s="1" t="s">
        <v>243</v>
      </c>
      <c r="C24" s="29" t="s">
        <v>37</v>
      </c>
      <c r="D24" s="52">
        <v>0</v>
      </c>
      <c r="E24" s="52">
        <v>0</v>
      </c>
    </row>
    <row r="25" spans="2:5" s="2" customFormat="1" ht="13.8" thickBot="1" x14ac:dyDescent="0.3">
      <c r="B25" s="19" t="s">
        <v>244</v>
      </c>
      <c r="C25" s="28" t="s">
        <v>37</v>
      </c>
      <c r="D25" s="20">
        <f>SUM(D18:D24)</f>
        <v>8113</v>
      </c>
      <c r="E25" s="20">
        <f>SUM(E18:E24)</f>
        <v>8214</v>
      </c>
    </row>
    <row r="26" spans="2:5" x14ac:dyDescent="0.25">
      <c r="D26" s="12"/>
      <c r="E26" s="12"/>
    </row>
    <row r="27" spans="2:5" x14ac:dyDescent="0.25">
      <c r="B27" s="39" t="s">
        <v>21</v>
      </c>
      <c r="D27" s="12"/>
      <c r="E27" s="12"/>
    </row>
    <row r="28" spans="2:5" x14ac:dyDescent="0.25">
      <c r="B28" s="1" t="s">
        <v>12</v>
      </c>
      <c r="C28" s="24" t="s">
        <v>37</v>
      </c>
      <c r="D28" s="159">
        <v>12869</v>
      </c>
      <c r="E28" s="159">
        <v>8459</v>
      </c>
    </row>
    <row r="29" spans="2:5" x14ac:dyDescent="0.25">
      <c r="B29" s="1" t="s">
        <v>368</v>
      </c>
      <c r="C29" s="24" t="s">
        <v>37</v>
      </c>
      <c r="D29" s="159">
        <v>0</v>
      </c>
      <c r="E29" s="159">
        <v>964</v>
      </c>
    </row>
    <row r="30" spans="2:5" x14ac:dyDescent="0.25">
      <c r="B30" s="1" t="s">
        <v>13</v>
      </c>
      <c r="C30" s="24" t="s">
        <v>37</v>
      </c>
      <c r="D30" s="159">
        <v>7562</v>
      </c>
      <c r="E30" s="159">
        <v>9480</v>
      </c>
    </row>
    <row r="31" spans="2:5" x14ac:dyDescent="0.25">
      <c r="B31" s="1" t="s">
        <v>219</v>
      </c>
      <c r="C31" s="24" t="s">
        <v>37</v>
      </c>
      <c r="D31" s="159">
        <v>51</v>
      </c>
      <c r="E31" s="159">
        <v>35</v>
      </c>
    </row>
    <row r="32" spans="2:5" x14ac:dyDescent="0.25">
      <c r="B32" s="1" t="s">
        <v>14</v>
      </c>
      <c r="C32" s="24" t="s">
        <v>37</v>
      </c>
      <c r="D32" s="159">
        <v>492</v>
      </c>
      <c r="E32" s="159">
        <v>1075</v>
      </c>
    </row>
    <row r="33" spans="2:5" x14ac:dyDescent="0.25">
      <c r="B33" s="1" t="s">
        <v>15</v>
      </c>
      <c r="C33" s="24" t="s">
        <v>37</v>
      </c>
      <c r="D33" s="159">
        <v>4557</v>
      </c>
      <c r="E33" s="159">
        <v>9812</v>
      </c>
    </row>
    <row r="34" spans="2:5" ht="13.8" thickBot="1" x14ac:dyDescent="0.3">
      <c r="B34" s="19" t="s">
        <v>16</v>
      </c>
      <c r="C34" s="28" t="s">
        <v>37</v>
      </c>
      <c r="D34" s="20">
        <f t="shared" ref="D34" si="10">SUM(D28:D33)</f>
        <v>25531</v>
      </c>
      <c r="E34" s="20">
        <f t="shared" ref="E34" si="11">SUM(E28:E33)</f>
        <v>29825</v>
      </c>
    </row>
    <row r="35" spans="2:5" x14ac:dyDescent="0.25">
      <c r="B35" s="1" t="s">
        <v>17</v>
      </c>
      <c r="C35" s="24" t="s">
        <v>37</v>
      </c>
      <c r="D35" s="159">
        <v>9569</v>
      </c>
      <c r="E35" s="159">
        <v>13546</v>
      </c>
    </row>
    <row r="36" spans="2:5" x14ac:dyDescent="0.25">
      <c r="B36" s="1" t="s">
        <v>18</v>
      </c>
      <c r="C36" s="24" t="s">
        <v>37</v>
      </c>
      <c r="D36" s="159">
        <v>3217</v>
      </c>
      <c r="E36" s="159">
        <v>4238</v>
      </c>
    </row>
    <row r="37" spans="2:5" ht="13.8" thickBot="1" x14ac:dyDescent="0.3">
      <c r="B37" s="19" t="s">
        <v>19</v>
      </c>
      <c r="C37" s="28" t="s">
        <v>37</v>
      </c>
      <c r="D37" s="20">
        <f t="shared" ref="D37" si="12">SUM(D35:D36)</f>
        <v>12786</v>
      </c>
      <c r="E37" s="20">
        <f t="shared" ref="E37" si="13">SUM(E35:E36)</f>
        <v>17784</v>
      </c>
    </row>
    <row r="38" spans="2:5" x14ac:dyDescent="0.25">
      <c r="D38" s="12"/>
      <c r="E38" s="12"/>
    </row>
    <row r="39" spans="2:5" x14ac:dyDescent="0.25">
      <c r="B39" s="39" t="s">
        <v>20</v>
      </c>
      <c r="D39" s="12"/>
      <c r="E39" s="12"/>
    </row>
    <row r="40" spans="2:5" x14ac:dyDescent="0.25">
      <c r="B40" s="16" t="s">
        <v>223</v>
      </c>
      <c r="C40" s="27" t="s">
        <v>37</v>
      </c>
      <c r="D40" s="122">
        <v>1165</v>
      </c>
      <c r="E40" s="122">
        <v>1539</v>
      </c>
    </row>
    <row r="41" spans="2:5" x14ac:dyDescent="0.25">
      <c r="D41" s="12"/>
      <c r="E41" s="12"/>
    </row>
    <row r="42" spans="2:5" x14ac:dyDescent="0.25">
      <c r="B42" s="2" t="s">
        <v>22</v>
      </c>
      <c r="D42" s="12"/>
      <c r="E42" s="12"/>
    </row>
    <row r="43" spans="2:5" x14ac:dyDescent="0.25">
      <c r="B43" s="1" t="s">
        <v>220</v>
      </c>
      <c r="C43" s="24" t="s">
        <v>37</v>
      </c>
      <c r="D43" s="159">
        <v>20132</v>
      </c>
      <c r="E43" s="159">
        <v>4049</v>
      </c>
    </row>
    <row r="44" spans="2:5" x14ac:dyDescent="0.25">
      <c r="B44" s="1" t="s">
        <v>221</v>
      </c>
      <c r="C44" s="24" t="s">
        <v>37</v>
      </c>
      <c r="D44" s="159">
        <v>0</v>
      </c>
      <c r="E44" s="159">
        <v>0</v>
      </c>
    </row>
    <row r="45" spans="2:5" x14ac:dyDescent="0.25">
      <c r="D45" s="137"/>
      <c r="E45" s="137"/>
    </row>
    <row r="46" spans="2:5" x14ac:dyDescent="0.25">
      <c r="B46" s="16" t="s">
        <v>23</v>
      </c>
      <c r="C46" s="27" t="s">
        <v>198</v>
      </c>
      <c r="D46" s="122">
        <v>567</v>
      </c>
      <c r="E46" s="122">
        <v>565</v>
      </c>
    </row>
    <row r="47" spans="2:5" x14ac:dyDescent="0.25">
      <c r="D47" s="12"/>
      <c r="E47" s="12"/>
    </row>
    <row r="48" spans="2:5" x14ac:dyDescent="0.25">
      <c r="B48" s="39" t="s">
        <v>54</v>
      </c>
      <c r="D48" s="12"/>
      <c r="E48" s="12"/>
    </row>
    <row r="49" spans="2:5" x14ac:dyDescent="0.25">
      <c r="D49" s="12"/>
      <c r="E49" s="12"/>
    </row>
    <row r="50" spans="2:5" x14ac:dyDescent="0.25">
      <c r="B50" s="2" t="s">
        <v>192</v>
      </c>
      <c r="D50" s="12"/>
      <c r="E50" s="12"/>
    </row>
    <row r="51" spans="2:5" x14ac:dyDescent="0.25">
      <c r="B51" s="1" t="str">
        <f>Assumptions!B7</f>
        <v>R/US$ exchange rate - avg</v>
      </c>
      <c r="C51" s="24" t="str">
        <f>Assumptions!C7</f>
        <v>R:1US$</v>
      </c>
      <c r="D51" s="35">
        <f>Assumptions!E7</f>
        <v>14.2</v>
      </c>
      <c r="E51" s="35">
        <f>Assumptions!F7</f>
        <v>15.69</v>
      </c>
    </row>
    <row r="52" spans="2:5" x14ac:dyDescent="0.25">
      <c r="B52" s="1" t="str">
        <f>Assumptions!B8</f>
        <v>Oil price (Brent) - avg</v>
      </c>
      <c r="C52" s="24" t="str">
        <f>Assumptions!C8</f>
        <v>US$/bbl</v>
      </c>
      <c r="D52" s="35">
        <f>Assumptions!E8</f>
        <v>68.63</v>
      </c>
      <c r="E52" s="35">
        <f>Assumptions!F8</f>
        <v>51.22</v>
      </c>
    </row>
    <row r="53" spans="2:5" x14ac:dyDescent="0.25">
      <c r="B53" s="1" t="str">
        <f>Assumptions!B20</f>
        <v>Gas price - Henry Hub</v>
      </c>
      <c r="C53" s="24" t="str">
        <f>Assumptions!C20</f>
        <v>US$/mmbtu</v>
      </c>
      <c r="D53" s="151">
        <f>Assumptions!E20</f>
        <v>3.05</v>
      </c>
      <c r="E53" s="151">
        <f>Assumptions!F20</f>
        <v>2.1</v>
      </c>
    </row>
    <row r="54" spans="2:5" x14ac:dyDescent="0.25">
      <c r="B54" s="1" t="str">
        <f>Assumptions!B21</f>
        <v>AECO to Henry Hub discount</v>
      </c>
      <c r="C54" s="24" t="str">
        <f>Assumptions!C21</f>
        <v>%</v>
      </c>
      <c r="D54" s="125">
        <f>Assumptions!E21</f>
        <v>0.7</v>
      </c>
      <c r="E54" s="125">
        <f>Assumptions!F21</f>
        <v>0.47</v>
      </c>
    </row>
    <row r="55" spans="2:5" x14ac:dyDescent="0.25">
      <c r="B55" s="1" t="str">
        <f>Assumptions!B25</f>
        <v>Condensate premium/(discount) to Brent oil - Canada</v>
      </c>
      <c r="C55" s="24" t="str">
        <f>Assumptions!C25</f>
        <v>US$/bbl</v>
      </c>
      <c r="D55" s="105">
        <f>Assumptions!E25</f>
        <v>-32</v>
      </c>
      <c r="E55" s="105">
        <f>Assumptions!F25</f>
        <v>-25</v>
      </c>
    </row>
    <row r="56" spans="2:5" x14ac:dyDescent="0.25">
      <c r="B56" s="1" t="str">
        <f>Assumptions!B26</f>
        <v>Condensate premium/(discount) to Brent oil - Mozambique</v>
      </c>
      <c r="C56" s="24" t="str">
        <f>Assumptions!C26</f>
        <v>US$/bbl</v>
      </c>
      <c r="D56" s="105">
        <f>Assumptions!E26</f>
        <v>0</v>
      </c>
      <c r="E56" s="105">
        <f>Assumptions!F26</f>
        <v>0</v>
      </c>
    </row>
    <row r="57" spans="2:5" x14ac:dyDescent="0.25">
      <c r="B57" s="1" t="str">
        <f>Assumptions!B29</f>
        <v>West Africa crude oil premium/(discount) to Brent</v>
      </c>
      <c r="C57" s="24" t="str">
        <f>Assumptions!C29</f>
        <v>US$/bbl</v>
      </c>
      <c r="D57" s="152">
        <f>Assumptions!E29</f>
        <v>0.5</v>
      </c>
      <c r="E57" s="152">
        <f>Assumptions!F29</f>
        <v>0.5</v>
      </c>
    </row>
    <row r="58" spans="2:5" x14ac:dyDescent="0.25">
      <c r="D58" s="24"/>
      <c r="E58" s="24"/>
    </row>
    <row r="59" spans="2:5" x14ac:dyDescent="0.25">
      <c r="B59" s="2" t="s">
        <v>79</v>
      </c>
      <c r="D59" s="12"/>
      <c r="E59" s="12"/>
    </row>
    <row r="60" spans="2:5" x14ac:dyDescent="0.25">
      <c r="B60" s="1" t="str">
        <f>Assumptions!B50</f>
        <v>mmbtu to bscf</v>
      </c>
      <c r="C60" s="1" t="str">
        <f>Assumptions!C50</f>
        <v>1m mmbtu:bscf</v>
      </c>
      <c r="D60" s="10">
        <f>Assumptions!E50</f>
        <v>1</v>
      </c>
      <c r="E60" s="10">
        <f>Assumptions!F50</f>
        <v>1</v>
      </c>
    </row>
    <row r="61" spans="2:5" x14ac:dyDescent="0.25">
      <c r="B61" s="2"/>
      <c r="D61" s="12"/>
      <c r="E61" s="12"/>
    </row>
    <row r="62" spans="2:5" s="2" customFormat="1" x14ac:dyDescent="0.25">
      <c r="B62" s="2" t="s">
        <v>34</v>
      </c>
      <c r="C62" s="25"/>
      <c r="D62" s="88"/>
      <c r="E62" s="88"/>
    </row>
    <row r="63" spans="2:5" x14ac:dyDescent="0.25">
      <c r="B63" s="43" t="s">
        <v>58</v>
      </c>
      <c r="D63" s="24"/>
      <c r="E63" s="24"/>
    </row>
    <row r="64" spans="2:5" s="42" customFormat="1" x14ac:dyDescent="0.25">
      <c r="B64" s="41" t="s">
        <v>406</v>
      </c>
      <c r="C64" s="29" t="s">
        <v>77</v>
      </c>
      <c r="D64" s="80">
        <v>35.200000000000003</v>
      </c>
      <c r="E64" s="80">
        <v>32.299999999999997</v>
      </c>
    </row>
    <row r="65" spans="2:5" s="42" customFormat="1" x14ac:dyDescent="0.25">
      <c r="B65" s="41" t="s">
        <v>417</v>
      </c>
      <c r="C65" s="29" t="s">
        <v>77</v>
      </c>
      <c r="D65" s="80">
        <v>21.8</v>
      </c>
      <c r="E65" s="80">
        <v>21.8</v>
      </c>
    </row>
    <row r="66" spans="2:5" x14ac:dyDescent="0.25">
      <c r="B66" s="41" t="s">
        <v>64</v>
      </c>
      <c r="C66" s="29" t="s">
        <v>77</v>
      </c>
      <c r="D66" s="80">
        <v>15.3</v>
      </c>
      <c r="E66" s="80">
        <v>15.2</v>
      </c>
    </row>
    <row r="67" spans="2:5" s="42" customFormat="1" x14ac:dyDescent="0.25">
      <c r="B67" s="41" t="s">
        <v>62</v>
      </c>
      <c r="C67" s="29" t="s">
        <v>271</v>
      </c>
      <c r="D67" s="142">
        <f>247</f>
        <v>247</v>
      </c>
      <c r="E67" s="142">
        <v>208</v>
      </c>
    </row>
    <row r="68" spans="2:5" s="42" customFormat="1" x14ac:dyDescent="0.25">
      <c r="B68" s="41" t="s">
        <v>202</v>
      </c>
      <c r="C68" s="29" t="s">
        <v>271</v>
      </c>
      <c r="D68" s="142">
        <f>1042</f>
        <v>1042</v>
      </c>
      <c r="E68" s="142">
        <v>1267</v>
      </c>
    </row>
    <row r="69" spans="2:5" s="42" customFormat="1" x14ac:dyDescent="0.25">
      <c r="B69" s="41" t="s">
        <v>59</v>
      </c>
      <c r="C69" s="29" t="s">
        <v>77</v>
      </c>
      <c r="D69" s="80">
        <v>16.3</v>
      </c>
      <c r="E69" s="80">
        <v>15</v>
      </c>
    </row>
    <row r="70" spans="2:5" s="42" customFormat="1" x14ac:dyDescent="0.25">
      <c r="B70" s="41" t="s">
        <v>60</v>
      </c>
      <c r="C70" s="29" t="s">
        <v>271</v>
      </c>
      <c r="D70" s="142">
        <f>63</f>
        <v>63</v>
      </c>
      <c r="E70" s="142">
        <v>197</v>
      </c>
    </row>
    <row r="71" spans="2:5" s="42" customFormat="1" x14ac:dyDescent="0.25">
      <c r="B71" s="41"/>
      <c r="C71" s="29"/>
      <c r="D71" s="29"/>
      <c r="E71" s="29"/>
    </row>
    <row r="72" spans="2:5" s="42" customFormat="1" x14ac:dyDescent="0.25">
      <c r="B72" s="43" t="s">
        <v>63</v>
      </c>
      <c r="C72" s="29"/>
      <c r="D72" s="29"/>
      <c r="E72" s="29"/>
    </row>
    <row r="73" spans="2:5" s="42" customFormat="1" x14ac:dyDescent="0.25">
      <c r="B73" s="41" t="s">
        <v>268</v>
      </c>
      <c r="C73" s="29" t="s">
        <v>77</v>
      </c>
      <c r="D73" s="80">
        <v>32.4</v>
      </c>
      <c r="E73" s="80">
        <v>30.2</v>
      </c>
    </row>
    <row r="74" spans="2:5" s="42" customFormat="1" x14ac:dyDescent="0.25">
      <c r="B74" s="41" t="s">
        <v>269</v>
      </c>
      <c r="C74" s="29" t="s">
        <v>77</v>
      </c>
      <c r="D74" s="80">
        <v>41.6</v>
      </c>
      <c r="E74" s="80">
        <v>44.4</v>
      </c>
    </row>
    <row r="75" spans="2:5" s="42" customFormat="1" x14ac:dyDescent="0.25">
      <c r="B75" s="41"/>
      <c r="C75" s="29"/>
      <c r="D75" s="29"/>
      <c r="E75" s="29"/>
    </row>
    <row r="76" spans="2:5" x14ac:dyDescent="0.25">
      <c r="B76" s="2" t="s">
        <v>396</v>
      </c>
      <c r="C76" s="24" t="s">
        <v>40</v>
      </c>
      <c r="D76" s="165">
        <v>0.87</v>
      </c>
      <c r="E76" s="165">
        <v>0.84</v>
      </c>
    </row>
    <row r="77" spans="2:5" x14ac:dyDescent="0.25">
      <c r="B77" s="2" t="s">
        <v>400</v>
      </c>
      <c r="C77" s="24" t="s">
        <v>37</v>
      </c>
      <c r="D77" s="166">
        <v>2517</v>
      </c>
      <c r="E77" s="166">
        <v>2547</v>
      </c>
    </row>
    <row r="78" spans="2:5" x14ac:dyDescent="0.25">
      <c r="D78" s="12"/>
      <c r="E78" s="12"/>
    </row>
    <row r="79" spans="2:5" x14ac:dyDescent="0.25">
      <c r="B79" s="2" t="s">
        <v>177</v>
      </c>
      <c r="C79" s="24" t="s">
        <v>40</v>
      </c>
      <c r="D79" s="165">
        <v>0.59</v>
      </c>
      <c r="E79" s="165">
        <v>0.39</v>
      </c>
    </row>
    <row r="80" spans="2:5" x14ac:dyDescent="0.25">
      <c r="D80" s="12"/>
      <c r="E80" s="12"/>
    </row>
    <row r="81" spans="2:6" x14ac:dyDescent="0.25">
      <c r="B81" s="39" t="s">
        <v>38</v>
      </c>
      <c r="D81" s="12"/>
      <c r="E81" s="12"/>
    </row>
    <row r="82" spans="2:6" x14ac:dyDescent="0.25">
      <c r="B82" s="9" t="s">
        <v>343</v>
      </c>
      <c r="D82" s="12"/>
      <c r="E82" s="12"/>
    </row>
    <row r="83" spans="2:6" x14ac:dyDescent="0.25">
      <c r="B83" s="9"/>
      <c r="D83" s="12"/>
      <c r="E83" s="12"/>
    </row>
    <row r="84" spans="2:6" x14ac:dyDescent="0.25">
      <c r="B84" s="120" t="s">
        <v>346</v>
      </c>
      <c r="D84" s="5" t="s">
        <v>234</v>
      </c>
      <c r="E84" s="5" t="s">
        <v>235</v>
      </c>
      <c r="F84" s="12"/>
    </row>
    <row r="85" spans="2:6" x14ac:dyDescent="0.25">
      <c r="B85" s="9" t="str">
        <f>B66</f>
        <v>- natural gas Mozambique (Sasol's 70% share)</v>
      </c>
      <c r="C85" s="29" t="s">
        <v>77</v>
      </c>
      <c r="D85" s="12"/>
      <c r="E85" s="12">
        <f>E66</f>
        <v>15.2</v>
      </c>
      <c r="F85" s="12"/>
    </row>
    <row r="86" spans="2:6" x14ac:dyDescent="0.25">
      <c r="B86" s="9" t="s">
        <v>270</v>
      </c>
      <c r="C86" s="29" t="s">
        <v>77</v>
      </c>
      <c r="D86" s="12"/>
      <c r="E86" s="12">
        <f>E64*70%</f>
        <v>22.609999999999996</v>
      </c>
      <c r="F86" s="12"/>
    </row>
    <row r="87" spans="2:6" x14ac:dyDescent="0.25">
      <c r="B87" s="9" t="s">
        <v>338</v>
      </c>
      <c r="C87" s="29" t="s">
        <v>77</v>
      </c>
      <c r="D87" s="17"/>
      <c r="E87" s="17">
        <f>SUM(E73:E74)</f>
        <v>74.599999999999994</v>
      </c>
      <c r="F87" s="30"/>
    </row>
    <row r="88" spans="2:6" x14ac:dyDescent="0.25">
      <c r="B88" s="9" t="s">
        <v>341</v>
      </c>
      <c r="C88" s="29" t="s">
        <v>77</v>
      </c>
      <c r="D88" s="12"/>
      <c r="E88" s="12">
        <f>SUM(E85:E87)</f>
        <v>112.41</v>
      </c>
      <c r="F88" s="30"/>
    </row>
    <row r="89" spans="2:6" x14ac:dyDescent="0.25">
      <c r="B89" s="9"/>
      <c r="D89" s="12"/>
      <c r="E89" s="12"/>
      <c r="F89" s="12"/>
    </row>
    <row r="90" spans="2:6" x14ac:dyDescent="0.25">
      <c r="B90" s="120" t="s">
        <v>355</v>
      </c>
      <c r="D90" s="12"/>
      <c r="E90" s="12"/>
      <c r="F90" s="12"/>
    </row>
    <row r="91" spans="2:6" x14ac:dyDescent="0.25">
      <c r="B91" s="9" t="s">
        <v>356</v>
      </c>
      <c r="C91" s="29" t="s">
        <v>77</v>
      </c>
      <c r="D91" s="12"/>
      <c r="E91" s="12">
        <f>SUM(E92:E93)</f>
        <v>54.099999999999994</v>
      </c>
      <c r="F91" s="12" t="s">
        <v>358</v>
      </c>
    </row>
    <row r="92" spans="2:6" x14ac:dyDescent="0.25">
      <c r="B92" s="9" t="str">
        <f>B64</f>
        <v>- natural gas - South Africa (100% share)</v>
      </c>
      <c r="C92" s="29" t="s">
        <v>77</v>
      </c>
      <c r="D92" s="12"/>
      <c r="E92" s="155">
        <f>E64</f>
        <v>32.299999999999997</v>
      </c>
      <c r="F92" s="118" t="s">
        <v>363</v>
      </c>
    </row>
    <row r="93" spans="2:6" x14ac:dyDescent="0.25">
      <c r="B93" s="9" t="str">
        <f>B65</f>
        <v>- methane rich gas - South Africa (Sasol's 100% share)</v>
      </c>
      <c r="C93" s="29" t="s">
        <v>77</v>
      </c>
      <c r="D93" s="12"/>
      <c r="E93" s="156">
        <f>E65</f>
        <v>21.8</v>
      </c>
      <c r="F93" s="118" t="s">
        <v>364</v>
      </c>
    </row>
    <row r="94" spans="2:6" x14ac:dyDescent="0.25">
      <c r="B94" s="9" t="s">
        <v>357</v>
      </c>
      <c r="C94" s="29" t="s">
        <v>77</v>
      </c>
      <c r="D94" s="12"/>
      <c r="E94" s="12">
        <f>SUM(E95:E97)</f>
        <v>106.57142857142856</v>
      </c>
      <c r="F94" s="12" t="s">
        <v>359</v>
      </c>
    </row>
    <row r="95" spans="2:6" x14ac:dyDescent="0.25">
      <c r="B95" s="9" t="s">
        <v>360</v>
      </c>
      <c r="C95" s="29" t="s">
        <v>77</v>
      </c>
      <c r="D95" s="12"/>
      <c r="E95" s="155">
        <f>E73</f>
        <v>30.2</v>
      </c>
      <c r="F95" s="12"/>
    </row>
    <row r="96" spans="2:6" x14ac:dyDescent="0.25">
      <c r="B96" s="9" t="s">
        <v>361</v>
      </c>
      <c r="C96" s="29" t="s">
        <v>77</v>
      </c>
      <c r="D96" s="12"/>
      <c r="E96" s="157">
        <f>E74</f>
        <v>44.4</v>
      </c>
      <c r="F96" s="12"/>
    </row>
    <row r="97" spans="2:6" x14ac:dyDescent="0.25">
      <c r="B97" s="9" t="s">
        <v>340</v>
      </c>
      <c r="C97" s="29" t="s">
        <v>77</v>
      </c>
      <c r="D97" s="12"/>
      <c r="E97" s="156">
        <f>SUM(E95:E96)/70%*30%</f>
        <v>31.971428571428568</v>
      </c>
      <c r="F97" s="12"/>
    </row>
    <row r="98" spans="2:6" x14ac:dyDescent="0.25">
      <c r="B98" s="9" t="s">
        <v>170</v>
      </c>
      <c r="C98" s="29" t="s">
        <v>77</v>
      </c>
      <c r="D98" s="12"/>
      <c r="E98" s="12">
        <f>E91+E94</f>
        <v>160.67142857142855</v>
      </c>
      <c r="F98" s="158" t="s">
        <v>362</v>
      </c>
    </row>
    <row r="99" spans="2:6" x14ac:dyDescent="0.25">
      <c r="B99" s="9"/>
      <c r="D99" s="12"/>
      <c r="E99" s="12"/>
      <c r="F99" s="12"/>
    </row>
    <row r="100" spans="2:6" x14ac:dyDescent="0.25">
      <c r="B100" s="120" t="s">
        <v>354</v>
      </c>
      <c r="D100" s="12"/>
      <c r="E100" s="12"/>
      <c r="F100" s="12"/>
    </row>
    <row r="101" spans="2:6" x14ac:dyDescent="0.25">
      <c r="B101" s="9" t="s">
        <v>351</v>
      </c>
      <c r="C101" s="29" t="s">
        <v>77</v>
      </c>
      <c r="D101" s="12"/>
      <c r="E101" s="12">
        <v>6</v>
      </c>
      <c r="F101" s="118" t="s">
        <v>352</v>
      </c>
    </row>
    <row r="102" spans="2:6" x14ac:dyDescent="0.25">
      <c r="B102" s="9" t="s">
        <v>64</v>
      </c>
      <c r="C102" s="29" t="s">
        <v>77</v>
      </c>
      <c r="D102" s="12"/>
      <c r="E102" s="12">
        <f>E66</f>
        <v>15.2</v>
      </c>
      <c r="F102" s="118" t="s">
        <v>353</v>
      </c>
    </row>
    <row r="103" spans="2:6" x14ac:dyDescent="0.25">
      <c r="B103" s="9" t="s">
        <v>347</v>
      </c>
      <c r="C103" s="29" t="s">
        <v>77</v>
      </c>
      <c r="D103" s="12"/>
      <c r="E103" s="12">
        <f>E102/70%*30%</f>
        <v>6.5142857142857142</v>
      </c>
      <c r="F103" s="118" t="s">
        <v>348</v>
      </c>
    </row>
    <row r="104" spans="2:6" x14ac:dyDescent="0.25">
      <c r="B104" s="9" t="str">
        <f>B64</f>
        <v>- natural gas - South Africa (100% share)</v>
      </c>
      <c r="C104" s="29" t="s">
        <v>77</v>
      </c>
      <c r="D104" s="12"/>
      <c r="E104" s="12">
        <f>E64</f>
        <v>32.299999999999997</v>
      </c>
      <c r="F104" s="118" t="s">
        <v>344</v>
      </c>
    </row>
    <row r="105" spans="2:6" x14ac:dyDescent="0.25">
      <c r="B105" s="9" t="str">
        <f>B65</f>
        <v>- methane rich gas - South Africa (Sasol's 100% share)</v>
      </c>
      <c r="C105" s="29" t="s">
        <v>77</v>
      </c>
      <c r="D105" s="12"/>
      <c r="E105" s="12">
        <v>0</v>
      </c>
      <c r="F105" s="118" t="s">
        <v>349</v>
      </c>
    </row>
    <row r="106" spans="2:6" x14ac:dyDescent="0.25">
      <c r="B106" s="9" t="s">
        <v>339</v>
      </c>
      <c r="C106" s="29" t="s">
        <v>77</v>
      </c>
      <c r="D106" s="30"/>
      <c r="E106" s="30">
        <f>SUM(E73:E74)</f>
        <v>74.599999999999994</v>
      </c>
      <c r="F106" s="154" t="s">
        <v>345</v>
      </c>
    </row>
    <row r="107" spans="2:6" x14ac:dyDescent="0.25">
      <c r="B107" s="9" t="s">
        <v>340</v>
      </c>
      <c r="C107" s="29" t="s">
        <v>77</v>
      </c>
      <c r="D107" s="17"/>
      <c r="E107" s="17">
        <f>E106/70%*30%</f>
        <v>31.971428571428568</v>
      </c>
      <c r="F107" s="154" t="s">
        <v>350</v>
      </c>
    </row>
    <row r="108" spans="2:6" x14ac:dyDescent="0.25">
      <c r="B108" s="9" t="s">
        <v>342</v>
      </c>
      <c r="C108" s="29" t="s">
        <v>77</v>
      </c>
      <c r="D108" s="12"/>
      <c r="E108" s="12">
        <f>SUM(E101:E107)</f>
        <v>166.58571428571426</v>
      </c>
      <c r="F108" s="30"/>
    </row>
    <row r="109" spans="2:6" x14ac:dyDescent="0.25">
      <c r="B109" s="9"/>
      <c r="D109" s="12"/>
      <c r="E109" s="12"/>
    </row>
    <row r="110" spans="2:6" x14ac:dyDescent="0.25">
      <c r="B110" s="9" t="s">
        <v>39</v>
      </c>
      <c r="C110" s="24" t="s">
        <v>37</v>
      </c>
      <c r="D110" s="17">
        <f>SUM(D111:D117)</f>
        <v>8316.0000000000018</v>
      </c>
      <c r="E110" s="17">
        <f>SUM(E111:E117)</f>
        <v>8349.9999999999982</v>
      </c>
    </row>
    <row r="111" spans="2:6" x14ac:dyDescent="0.25">
      <c r="B111" s="9" t="s">
        <v>272</v>
      </c>
      <c r="C111" s="24" t="s">
        <v>37</v>
      </c>
      <c r="D111" s="12">
        <f>D64*D121</f>
        <v>3896.1317045894739</v>
      </c>
      <c r="E111" s="12">
        <f>E64*E121</f>
        <v>3759.2304223922365</v>
      </c>
    </row>
    <row r="112" spans="2:6" x14ac:dyDescent="0.25">
      <c r="B112" s="9" t="s">
        <v>273</v>
      </c>
      <c r="C112" s="24" t="s">
        <v>37</v>
      </c>
      <c r="D112" s="12">
        <f>D65*D121</f>
        <v>2412.9452034105266</v>
      </c>
      <c r="E112" s="12">
        <f>E65*E121</f>
        <v>2537.1895730077636</v>
      </c>
    </row>
    <row r="113" spans="2:6" x14ac:dyDescent="0.25">
      <c r="B113" s="9" t="s">
        <v>70</v>
      </c>
      <c r="C113" s="24" t="s">
        <v>37</v>
      </c>
      <c r="D113" s="12">
        <f>D66*D132</f>
        <v>498.78000000000003</v>
      </c>
      <c r="E113" s="12">
        <f>E66*E132</f>
        <v>515.28</v>
      </c>
    </row>
    <row r="114" spans="2:6" x14ac:dyDescent="0.25">
      <c r="B114" s="9" t="s">
        <v>71</v>
      </c>
      <c r="C114" s="24" t="s">
        <v>37</v>
      </c>
      <c r="D114" s="12">
        <f>D67/1000*D51*(D52+D56)</f>
        <v>240.71286199999997</v>
      </c>
      <c r="E114" s="12">
        <f>E67/1000*E51*(E52+E56)</f>
        <v>167.15749439999999</v>
      </c>
    </row>
    <row r="115" spans="2:6" s="162" customFormat="1" x14ac:dyDescent="0.25">
      <c r="B115" s="127" t="s">
        <v>72</v>
      </c>
      <c r="C115" s="112" t="s">
        <v>37</v>
      </c>
      <c r="D115" s="167">
        <f>D68/1000*D51*(D52+D57)</f>
        <v>1022.8751319999999</v>
      </c>
      <c r="E115" s="167">
        <f>E68/1000*E51*(E52+E57)</f>
        <v>1028.1537755999998</v>
      </c>
    </row>
    <row r="116" spans="2:6" x14ac:dyDescent="0.25">
      <c r="B116" s="9" t="s">
        <v>68</v>
      </c>
      <c r="C116" s="24" t="s">
        <v>37</v>
      </c>
      <c r="D116" s="12">
        <f>D69*D51*(D53*(1-D54))*D60</f>
        <v>211.78590000000003</v>
      </c>
      <c r="E116" s="12">
        <f>E69*E51*(E53*(1-E54))*E60</f>
        <v>261.94455000000005</v>
      </c>
    </row>
    <row r="117" spans="2:6" x14ac:dyDescent="0.25">
      <c r="B117" s="9" t="s">
        <v>69</v>
      </c>
      <c r="C117" s="24" t="s">
        <v>37</v>
      </c>
      <c r="D117" s="17">
        <f>D70/1000*D51*(D52+D55)</f>
        <v>32.769197999999996</v>
      </c>
      <c r="E117" s="17">
        <f>E70/1000*E51*(E52+E55)</f>
        <v>81.044184599999994</v>
      </c>
    </row>
    <row r="118" spans="2:6" x14ac:dyDescent="0.25">
      <c r="B118" s="9" t="s">
        <v>41</v>
      </c>
      <c r="C118" s="24" t="s">
        <v>37</v>
      </c>
      <c r="D118" s="31">
        <f>D8</f>
        <v>8316</v>
      </c>
      <c r="E118" s="31">
        <f>E8</f>
        <v>8350</v>
      </c>
    </row>
    <row r="119" spans="2:6" x14ac:dyDescent="0.25">
      <c r="B119" s="9" t="s">
        <v>42</v>
      </c>
      <c r="C119" s="24" t="s">
        <v>40</v>
      </c>
      <c r="D119" s="32">
        <f>D118/D110-1</f>
        <v>0</v>
      </c>
      <c r="E119" s="32">
        <f>E118/E110-1</f>
        <v>0</v>
      </c>
    </row>
    <row r="121" spans="2:6" s="162" customFormat="1" x14ac:dyDescent="0.25">
      <c r="B121" s="162" t="s">
        <v>278</v>
      </c>
      <c r="C121" s="112" t="s">
        <v>83</v>
      </c>
      <c r="D121" s="136">
        <f>(D8-SUM(D113:D117))/SUM(D64:D65)</f>
        <v>110.68555978947369</v>
      </c>
      <c r="E121" s="136">
        <f>(E8-SUM(E113:E117))/SUM(E64:E65)</f>
        <v>116.38484279852126</v>
      </c>
    </row>
    <row r="122" spans="2:6" s="162" customFormat="1" x14ac:dyDescent="0.25">
      <c r="B122" s="162" t="s">
        <v>278</v>
      </c>
      <c r="C122" s="112" t="s">
        <v>365</v>
      </c>
      <c r="D122" s="163">
        <f>D121/D51</f>
        <v>7.7947577316530765</v>
      </c>
      <c r="E122" s="163">
        <f>E121/E51</f>
        <v>7.4177720075539364</v>
      </c>
    </row>
    <row r="123" spans="2:6" x14ac:dyDescent="0.25">
      <c r="B123" s="9" t="s">
        <v>227</v>
      </c>
      <c r="C123" s="24" t="s">
        <v>40</v>
      </c>
      <c r="E123" s="32">
        <f>E121/D121-1</f>
        <v>5.149075470989839E-2</v>
      </c>
    </row>
    <row r="125" spans="2:6" x14ac:dyDescent="0.25">
      <c r="B125" s="1" t="s">
        <v>103</v>
      </c>
      <c r="C125" s="37" t="s">
        <v>228</v>
      </c>
    </row>
    <row r="126" spans="2:6" x14ac:dyDescent="0.25">
      <c r="B126" s="9" t="s">
        <v>65</v>
      </c>
      <c r="C126" s="171">
        <v>0.37</v>
      </c>
      <c r="D126" s="38"/>
      <c r="E126" s="38"/>
    </row>
    <row r="127" spans="2:6" x14ac:dyDescent="0.25">
      <c r="B127" s="9" t="s">
        <v>66</v>
      </c>
      <c r="C127" s="171">
        <v>0.37</v>
      </c>
    </row>
    <row r="128" spans="2:6" x14ac:dyDescent="0.25">
      <c r="B128" s="9" t="s">
        <v>67</v>
      </c>
      <c r="C128" s="171">
        <v>0.24</v>
      </c>
    </row>
    <row r="129" spans="2:5" x14ac:dyDescent="0.25">
      <c r="B129" s="9" t="s">
        <v>51</v>
      </c>
      <c r="C129" s="171">
        <v>0.02</v>
      </c>
    </row>
    <row r="130" spans="2:5" x14ac:dyDescent="0.25">
      <c r="B130" s="1" t="s">
        <v>53</v>
      </c>
      <c r="C130" s="44">
        <f>SUM(C126:C129)</f>
        <v>1</v>
      </c>
      <c r="D130" s="111"/>
      <c r="E130" s="111"/>
    </row>
    <row r="132" spans="2:5" x14ac:dyDescent="0.25">
      <c r="B132" s="1" t="s">
        <v>277</v>
      </c>
      <c r="C132" s="24" t="s">
        <v>83</v>
      </c>
      <c r="D132" s="36">
        <v>32.6</v>
      </c>
      <c r="E132" s="36">
        <v>33.9</v>
      </c>
    </row>
    <row r="133" spans="2:5" x14ac:dyDescent="0.25">
      <c r="B133" s="9" t="s">
        <v>227</v>
      </c>
      <c r="C133" s="24" t="s">
        <v>40</v>
      </c>
      <c r="D133" s="32"/>
      <c r="E133" s="32">
        <f t="shared" ref="E133" si="14">E132/D132-1</f>
        <v>3.9877300613496924E-2</v>
      </c>
    </row>
    <row r="134" spans="2:5" x14ac:dyDescent="0.25">
      <c r="B134" s="9"/>
      <c r="D134" s="32"/>
      <c r="E134" s="32"/>
    </row>
    <row r="135" spans="2:5" x14ac:dyDescent="0.25">
      <c r="B135" s="1" t="s">
        <v>276</v>
      </c>
      <c r="C135" s="37" t="s">
        <v>57</v>
      </c>
    </row>
    <row r="136" spans="2:5" x14ac:dyDescent="0.25">
      <c r="B136" s="9" t="s">
        <v>67</v>
      </c>
      <c r="C136" s="82">
        <v>0.5</v>
      </c>
      <c r="D136" s="32">
        <f>Assumptions!E9/Assumptions!D9-1</f>
        <v>0.19208040933705361</v>
      </c>
      <c r="E136" s="32">
        <f>Assumptions!F9/Assumptions!E9-1</f>
        <v>-0.17536801751790065</v>
      </c>
    </row>
    <row r="137" spans="2:5" x14ac:dyDescent="0.25">
      <c r="B137" s="9" t="s">
        <v>181</v>
      </c>
      <c r="C137" s="82">
        <v>0.5</v>
      </c>
      <c r="D137" s="32">
        <f>Assumptions!E45</f>
        <v>0.05</v>
      </c>
      <c r="E137" s="32">
        <f>Assumptions!F45</f>
        <v>0.05</v>
      </c>
    </row>
    <row r="138" spans="2:5" x14ac:dyDescent="0.25">
      <c r="B138" s="1" t="s">
        <v>53</v>
      </c>
      <c r="C138" s="44">
        <f>SUM(C136:C137)</f>
        <v>1</v>
      </c>
      <c r="D138" s="32">
        <f>(D136*$C$136)+(D137*$C$137)</f>
        <v>0.1210402046685268</v>
      </c>
      <c r="E138" s="32">
        <f>(E136*$C$136)+(E137*$C$137)</f>
        <v>-6.2684008758950333E-2</v>
      </c>
    </row>
    <row r="140" spans="2:5" x14ac:dyDescent="0.25">
      <c r="B140" s="9" t="s">
        <v>43</v>
      </c>
      <c r="C140" s="24" t="s">
        <v>37</v>
      </c>
      <c r="D140" s="31">
        <f>D9</f>
        <v>4349</v>
      </c>
      <c r="E140" s="31">
        <f>E9</f>
        <v>4069</v>
      </c>
    </row>
    <row r="141" spans="2:5" s="162" customFormat="1" x14ac:dyDescent="0.25">
      <c r="B141" s="127" t="s">
        <v>44</v>
      </c>
      <c r="C141" s="112" t="s">
        <v>83</v>
      </c>
      <c r="D141" s="139">
        <f>D140/SUM(D73:D74)</f>
        <v>58.770270270270274</v>
      </c>
      <c r="E141" s="139">
        <f>E140/SUM(E73:E74)</f>
        <v>54.544235924932977</v>
      </c>
    </row>
    <row r="142" spans="2:5" s="162" customFormat="1" x14ac:dyDescent="0.25">
      <c r="B142" s="127" t="s">
        <v>44</v>
      </c>
      <c r="C142" s="112" t="s">
        <v>365</v>
      </c>
      <c r="D142" s="163">
        <f>D141/D51</f>
        <v>4.1387514274838226</v>
      </c>
      <c r="E142" s="163">
        <f>E141/E51</f>
        <v>3.4763694024813883</v>
      </c>
    </row>
    <row r="143" spans="2:5" x14ac:dyDescent="0.25">
      <c r="B143" s="9" t="s">
        <v>227</v>
      </c>
      <c r="C143" s="24" t="s">
        <v>40</v>
      </c>
      <c r="D143" s="32"/>
      <c r="E143" s="32">
        <f>E141/D141-1</f>
        <v>-7.1907689481480741E-2</v>
      </c>
    </row>
    <row r="144" spans="2:5" x14ac:dyDescent="0.25">
      <c r="D144" s="89"/>
      <c r="E144" s="89"/>
    </row>
    <row r="145" spans="2:5" x14ac:dyDescent="0.25">
      <c r="B145" s="9" t="s">
        <v>74</v>
      </c>
      <c r="C145" s="24" t="s">
        <v>37</v>
      </c>
      <c r="D145" s="31">
        <f>D7-D25</f>
        <v>4552</v>
      </c>
      <c r="E145" s="31">
        <f>E7-E25</f>
        <v>4205</v>
      </c>
    </row>
    <row r="146" spans="2:5" x14ac:dyDescent="0.25">
      <c r="B146" s="9" t="s">
        <v>397</v>
      </c>
      <c r="C146" s="24" t="s">
        <v>37</v>
      </c>
      <c r="D146" s="153">
        <f>D150</f>
        <v>1646.45</v>
      </c>
      <c r="E146" s="153">
        <f>E150</f>
        <v>1987.0400000000004</v>
      </c>
    </row>
    <row r="147" spans="2:5" x14ac:dyDescent="0.25">
      <c r="B147" s="9" t="s">
        <v>399</v>
      </c>
      <c r="C147" s="24" t="s">
        <v>37</v>
      </c>
      <c r="D147" s="48">
        <f>D153</f>
        <v>2517</v>
      </c>
      <c r="E147" s="48">
        <f>E153</f>
        <v>2547</v>
      </c>
    </row>
    <row r="148" spans="2:5" x14ac:dyDescent="0.25">
      <c r="B148" s="9" t="s">
        <v>51</v>
      </c>
      <c r="C148" s="24" t="s">
        <v>37</v>
      </c>
      <c r="D148" s="47">
        <f>D145-D146-D147</f>
        <v>388.55000000000018</v>
      </c>
      <c r="E148" s="47">
        <f>E145-E146-E147</f>
        <v>-329.04000000000042</v>
      </c>
    </row>
    <row r="149" spans="2:5" x14ac:dyDescent="0.25">
      <c r="B149" s="9"/>
      <c r="D149" s="31"/>
      <c r="E149" s="31"/>
    </row>
    <row r="150" spans="2:5" x14ac:dyDescent="0.25">
      <c r="B150" s="9" t="s">
        <v>397</v>
      </c>
      <c r="C150" s="24" t="s">
        <v>37</v>
      </c>
      <c r="D150" s="31">
        <f>D7*(1-D76)</f>
        <v>1646.45</v>
      </c>
      <c r="E150" s="31">
        <f>E7*(1-E76)</f>
        <v>1987.0400000000004</v>
      </c>
    </row>
    <row r="151" spans="2:5" x14ac:dyDescent="0.25">
      <c r="B151" s="9" t="s">
        <v>227</v>
      </c>
      <c r="C151" s="24" t="s">
        <v>40</v>
      </c>
      <c r="D151" s="32"/>
      <c r="E151" s="32">
        <f>E150/D150-1</f>
        <v>0.20686325123751126</v>
      </c>
    </row>
    <row r="152" spans="2:5" x14ac:dyDescent="0.25">
      <c r="B152" s="9"/>
      <c r="D152" s="32"/>
      <c r="E152" s="32"/>
    </row>
    <row r="153" spans="2:5" x14ac:dyDescent="0.25">
      <c r="B153" s="9" t="s">
        <v>399</v>
      </c>
      <c r="C153" s="24" t="s">
        <v>37</v>
      </c>
      <c r="D153" s="121">
        <f>D77</f>
        <v>2517</v>
      </c>
      <c r="E153" s="121">
        <f>E77</f>
        <v>2547</v>
      </c>
    </row>
    <row r="154" spans="2:5" x14ac:dyDescent="0.25">
      <c r="B154" s="9" t="s">
        <v>227</v>
      </c>
      <c r="C154" s="24" t="s">
        <v>40</v>
      </c>
      <c r="D154" s="32"/>
      <c r="E154" s="32">
        <f t="shared" ref="E154" si="15">E153/D153-1</f>
        <v>1.1918951132300348E-2</v>
      </c>
    </row>
    <row r="155" spans="2:5" x14ac:dyDescent="0.25">
      <c r="B155" s="9"/>
    </row>
    <row r="156" spans="2:5" x14ac:dyDescent="0.25">
      <c r="B156" s="1" t="s">
        <v>48</v>
      </c>
      <c r="C156" s="37" t="s">
        <v>228</v>
      </c>
    </row>
    <row r="157" spans="2:5" x14ac:dyDescent="0.25">
      <c r="B157" s="9" t="s">
        <v>393</v>
      </c>
      <c r="C157" s="171">
        <v>0.25</v>
      </c>
      <c r="D157" s="83"/>
      <c r="E157" s="83"/>
    </row>
    <row r="158" spans="2:5" x14ac:dyDescent="0.25">
      <c r="B158" s="9" t="s">
        <v>49</v>
      </c>
      <c r="C158" s="171">
        <v>0.28000000000000003</v>
      </c>
      <c r="D158" s="83"/>
      <c r="E158" s="83"/>
    </row>
    <row r="159" spans="2:5" x14ac:dyDescent="0.25">
      <c r="B159" s="9" t="s">
        <v>50</v>
      </c>
      <c r="C159" s="171">
        <v>0.11</v>
      </c>
      <c r="D159" s="83"/>
      <c r="E159" s="83"/>
    </row>
    <row r="160" spans="2:5" x14ac:dyDescent="0.25">
      <c r="B160" s="9" t="s">
        <v>394</v>
      </c>
      <c r="C160" s="171">
        <v>0.15</v>
      </c>
      <c r="D160" s="83"/>
      <c r="E160" s="83"/>
    </row>
    <row r="161" spans="2:5" x14ac:dyDescent="0.25">
      <c r="B161" s="9" t="s">
        <v>51</v>
      </c>
      <c r="C161" s="171">
        <v>0.21</v>
      </c>
      <c r="D161" s="83"/>
      <c r="E161" s="83"/>
    </row>
    <row r="162" spans="2:5" x14ac:dyDescent="0.25">
      <c r="B162" s="1" t="s">
        <v>53</v>
      </c>
      <c r="C162" s="44">
        <f>SUM(C157:C161)</f>
        <v>1</v>
      </c>
      <c r="D162" s="74">
        <f t="shared" ref="D162:E162" si="16">($C157*D157)+($C158*D158)+($C159*D159)+($C161*D161)</f>
        <v>0</v>
      </c>
      <c r="E162" s="74">
        <f t="shared" si="16"/>
        <v>0</v>
      </c>
    </row>
    <row r="163" spans="2:5" x14ac:dyDescent="0.25">
      <c r="C163" s="44"/>
      <c r="D163" s="74"/>
      <c r="E163" s="74"/>
    </row>
    <row r="164" spans="2:5" x14ac:dyDescent="0.25">
      <c r="B164" s="1" t="s">
        <v>199</v>
      </c>
      <c r="C164" s="24" t="s">
        <v>40</v>
      </c>
      <c r="D164" s="32"/>
      <c r="E164" s="32">
        <f>E46/D46-1</f>
        <v>-3.5273368606701938E-3</v>
      </c>
    </row>
    <row r="165" spans="2:5" x14ac:dyDescent="0.25">
      <c r="B165" s="1" t="s">
        <v>200</v>
      </c>
      <c r="C165" s="24" t="s">
        <v>40</v>
      </c>
    </row>
    <row r="167" spans="2:5" x14ac:dyDescent="0.25">
      <c r="B167" s="9" t="s">
        <v>55</v>
      </c>
      <c r="C167" s="24" t="s">
        <v>40</v>
      </c>
      <c r="D167" s="32">
        <f>D33/D7</f>
        <v>0.35981050138176074</v>
      </c>
      <c r="E167" s="32">
        <f>E33/E7</f>
        <v>0.79007971656333043</v>
      </c>
    </row>
    <row r="168" spans="2:5" x14ac:dyDescent="0.25">
      <c r="B168" s="9"/>
    </row>
    <row r="169" spans="2:5" x14ac:dyDescent="0.25">
      <c r="B169" s="9" t="s">
        <v>56</v>
      </c>
      <c r="C169" s="24" t="s">
        <v>40</v>
      </c>
      <c r="D169" s="32">
        <f>D36/D7</f>
        <v>0.25400710619818395</v>
      </c>
      <c r="E169" s="32">
        <f>E36/E7</f>
        <v>0.34125130847894353</v>
      </c>
    </row>
    <row r="171" spans="2:5" x14ac:dyDescent="0.25">
      <c r="B171" s="9" t="s">
        <v>52</v>
      </c>
      <c r="C171" s="24" t="s">
        <v>40</v>
      </c>
      <c r="D171" s="32">
        <f>D40/D7</f>
        <v>9.198578760363206E-2</v>
      </c>
      <c r="E171" s="32">
        <f>E40/E7</f>
        <v>0.12392302117722843</v>
      </c>
    </row>
    <row r="173" spans="2:5" x14ac:dyDescent="0.25">
      <c r="B173" s="9" t="s">
        <v>187</v>
      </c>
    </row>
    <row r="174" spans="2:5" x14ac:dyDescent="0.25">
      <c r="B174" s="9" t="s">
        <v>190</v>
      </c>
      <c r="C174" s="24" t="s">
        <v>40</v>
      </c>
      <c r="D174" s="32">
        <f t="shared" ref="D174" si="17">D178/D181</f>
        <v>0.12700510003923107</v>
      </c>
      <c r="E174" s="32">
        <f t="shared" ref="E174" si="18">E178/E181</f>
        <v>0.27204631646897443</v>
      </c>
    </row>
    <row r="175" spans="2:5" x14ac:dyDescent="0.25">
      <c r="B175" s="9"/>
    </row>
    <row r="176" spans="2:5" x14ac:dyDescent="0.25">
      <c r="B176" s="1" t="s">
        <v>191</v>
      </c>
      <c r="C176" s="24" t="s">
        <v>37</v>
      </c>
      <c r="D176" s="31">
        <f>D18</f>
        <v>3948</v>
      </c>
      <c r="E176" s="31">
        <f>E18</f>
        <v>5527</v>
      </c>
    </row>
    <row r="177" spans="2:5" x14ac:dyDescent="0.25">
      <c r="B177" s="1" t="s">
        <v>177</v>
      </c>
      <c r="C177" s="24" t="s">
        <v>40</v>
      </c>
      <c r="D177" s="38">
        <f>D79</f>
        <v>0.59</v>
      </c>
      <c r="E177" s="38">
        <f>E79</f>
        <v>0.39</v>
      </c>
    </row>
    <row r="178" spans="2:5" x14ac:dyDescent="0.25">
      <c r="B178" s="1" t="s">
        <v>186</v>
      </c>
      <c r="C178" s="24" t="s">
        <v>37</v>
      </c>
      <c r="D178" s="31">
        <f t="shared" ref="D178" si="19">D176*(1-D177)</f>
        <v>1618.68</v>
      </c>
      <c r="E178" s="31">
        <f t="shared" ref="E178" si="20">E176*(1-E177)</f>
        <v>3371.47</v>
      </c>
    </row>
    <row r="179" spans="2:5" x14ac:dyDescent="0.25">
      <c r="D179" s="31"/>
      <c r="E179" s="31"/>
    </row>
    <row r="180" spans="2:5" x14ac:dyDescent="0.25">
      <c r="B180" s="1" t="s">
        <v>188</v>
      </c>
      <c r="C180" s="24" t="s">
        <v>37</v>
      </c>
      <c r="D180" s="31">
        <f>D34-D37</f>
        <v>12745</v>
      </c>
      <c r="E180" s="31">
        <f>E34-E37</f>
        <v>12041</v>
      </c>
    </row>
    <row r="181" spans="2:5" x14ac:dyDescent="0.25">
      <c r="B181" s="1" t="s">
        <v>189</v>
      </c>
      <c r="C181" s="24" t="s">
        <v>37</v>
      </c>
      <c r="D181" s="31">
        <f>AVERAGE(D180:D180)</f>
        <v>12745</v>
      </c>
      <c r="E181" s="31">
        <f t="shared" ref="E181" si="21">AVERAGE(D180:E180)</f>
        <v>12393</v>
      </c>
    </row>
    <row r="182" spans="2:5" x14ac:dyDescent="0.25">
      <c r="B182" s="9"/>
    </row>
  </sheetData>
  <pageMargins left="0.7" right="0.7" top="0.75" bottom="0.75" header="0.3" footer="0.3"/>
  <pageSetup paperSize="9" scale="2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B1:XEN247"/>
  <sheetViews>
    <sheetView view="pageBreakPreview" zoomScale="80" zoomScaleNormal="80" zoomScaleSheetLayoutView="80" workbookViewId="0">
      <pane xSplit="3" ySplit="4" topLeftCell="D108" activePane="bottomRight" state="frozen"/>
      <selection activeCell="B31" sqref="B31"/>
      <selection pane="topRight" activeCell="B31" sqref="B31"/>
      <selection pane="bottomLeft" activeCell="B31" sqref="B31"/>
      <selection pane="bottomRight" activeCell="D122" sqref="D122"/>
    </sheetView>
  </sheetViews>
  <sheetFormatPr defaultColWidth="9.21875" defaultRowHeight="13.2"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304</v>
      </c>
      <c r="C4" s="23" t="s">
        <v>2</v>
      </c>
      <c r="D4" s="5" t="s">
        <v>234</v>
      </c>
      <c r="E4" s="5" t="s">
        <v>235</v>
      </c>
    </row>
    <row r="5" spans="2:5" x14ac:dyDescent="0.25">
      <c r="D5" s="12"/>
      <c r="E5" s="12"/>
    </row>
    <row r="6" spans="2:5" x14ac:dyDescent="0.25">
      <c r="B6" s="39" t="s">
        <v>4</v>
      </c>
      <c r="D6" s="12"/>
      <c r="E6" s="12"/>
    </row>
    <row r="7" spans="2:5" s="2" customFormat="1" x14ac:dyDescent="0.25">
      <c r="B7" s="2" t="s">
        <v>5</v>
      </c>
      <c r="C7" s="25" t="s">
        <v>37</v>
      </c>
      <c r="D7" s="18">
        <f t="shared" ref="D7:E7" si="0">SUM(D8:D9)</f>
        <v>78624</v>
      </c>
      <c r="E7" s="18">
        <f t="shared" si="0"/>
        <v>62553</v>
      </c>
    </row>
    <row r="8" spans="2:5" x14ac:dyDescent="0.25">
      <c r="B8" s="13" t="s">
        <v>7</v>
      </c>
      <c r="C8" s="26" t="s">
        <v>37</v>
      </c>
      <c r="D8" s="75">
        <v>76985</v>
      </c>
      <c r="E8" s="75">
        <v>60816</v>
      </c>
    </row>
    <row r="9" spans="2:5" x14ac:dyDescent="0.25">
      <c r="B9" s="15" t="s">
        <v>11</v>
      </c>
      <c r="C9" s="27" t="s">
        <v>37</v>
      </c>
      <c r="D9" s="53">
        <v>1639</v>
      </c>
      <c r="E9" s="53">
        <f>62553-E8</f>
        <v>1737</v>
      </c>
    </row>
    <row r="10" spans="2:5" x14ac:dyDescent="0.25">
      <c r="B10" s="9"/>
      <c r="D10" s="12"/>
      <c r="E10" s="12"/>
    </row>
    <row r="11" spans="2:5" x14ac:dyDescent="0.25">
      <c r="B11" s="1" t="s">
        <v>214</v>
      </c>
      <c r="C11" s="24" t="s">
        <v>37</v>
      </c>
      <c r="D11" s="52">
        <f>10769-D12-D14-D17</f>
        <v>10640</v>
      </c>
      <c r="E11" s="52">
        <f>-11609-E12-E14-E17</f>
        <v>1187</v>
      </c>
    </row>
    <row r="12" spans="2:5" x14ac:dyDescent="0.25">
      <c r="B12" s="16" t="s">
        <v>8</v>
      </c>
      <c r="C12" s="27" t="s">
        <v>37</v>
      </c>
      <c r="D12" s="53">
        <v>-332</v>
      </c>
      <c r="E12" s="53">
        <v>-459</v>
      </c>
    </row>
    <row r="13" spans="2:5" s="94" customFormat="1" x14ac:dyDescent="0.25">
      <c r="B13" s="94" t="s">
        <v>215</v>
      </c>
      <c r="C13" s="95" t="s">
        <v>37</v>
      </c>
      <c r="D13" s="96">
        <f>SUM(D11:D12)</f>
        <v>10308</v>
      </c>
      <c r="E13" s="96">
        <f>SUM(E11:E12)</f>
        <v>728</v>
      </c>
    </row>
    <row r="14" spans="2:5" s="97" customFormat="1" x14ac:dyDescent="0.25">
      <c r="B14" s="97" t="s">
        <v>216</v>
      </c>
      <c r="C14" s="24" t="s">
        <v>37</v>
      </c>
      <c r="D14" s="100">
        <v>908</v>
      </c>
      <c r="E14" s="100">
        <v>-347</v>
      </c>
    </row>
    <row r="15" spans="2:5" s="97" customFormat="1" x14ac:dyDescent="0.25">
      <c r="B15" s="99" t="s">
        <v>217</v>
      </c>
      <c r="C15" s="27" t="s">
        <v>37</v>
      </c>
      <c r="D15" s="101"/>
      <c r="E15" s="101"/>
    </row>
    <row r="16" spans="2:5" s="97" customFormat="1" x14ac:dyDescent="0.25">
      <c r="B16" s="97" t="s">
        <v>218</v>
      </c>
      <c r="C16" s="24" t="s">
        <v>37</v>
      </c>
      <c r="D16" s="98">
        <f>SUM(D13:D15)</f>
        <v>11216</v>
      </c>
      <c r="E16" s="98">
        <f>SUM(E13:E15)</f>
        <v>381</v>
      </c>
    </row>
    <row r="17" spans="2:5" x14ac:dyDescent="0.25">
      <c r="B17" s="16" t="s">
        <v>9</v>
      </c>
      <c r="C17" s="27" t="s">
        <v>37</v>
      </c>
      <c r="D17" s="53">
        <v>-447</v>
      </c>
      <c r="E17" s="53">
        <v>-11990</v>
      </c>
    </row>
    <row r="18" spans="2:5" s="2" customFormat="1" x14ac:dyDescent="0.25">
      <c r="B18" s="2" t="s">
        <v>392</v>
      </c>
      <c r="C18" s="25" t="s">
        <v>37</v>
      </c>
      <c r="D18" s="18">
        <f>SUM(D16:D17)</f>
        <v>10769</v>
      </c>
      <c r="E18" s="18">
        <f>SUM(E16:E17)</f>
        <v>-11609</v>
      </c>
    </row>
    <row r="19" spans="2:5" x14ac:dyDescent="0.25">
      <c r="B19" s="1" t="s">
        <v>108</v>
      </c>
      <c r="C19" s="24" t="s">
        <v>37</v>
      </c>
      <c r="D19" s="52">
        <v>4804</v>
      </c>
      <c r="E19" s="52">
        <v>4604</v>
      </c>
    </row>
    <row r="20" spans="2:5" x14ac:dyDescent="0.25">
      <c r="B20" s="1" t="s">
        <v>239</v>
      </c>
      <c r="C20" s="24" t="s">
        <v>37</v>
      </c>
      <c r="D20" s="52">
        <v>28</v>
      </c>
      <c r="E20" s="52">
        <v>205</v>
      </c>
    </row>
    <row r="21" spans="2:5" x14ac:dyDescent="0.25">
      <c r="B21" s="1" t="s">
        <v>9</v>
      </c>
      <c r="C21" s="24" t="s">
        <v>37</v>
      </c>
      <c r="D21" s="52">
        <f>-D17</f>
        <v>447</v>
      </c>
      <c r="E21" s="52">
        <f>-E17</f>
        <v>11990</v>
      </c>
    </row>
    <row r="22" spans="2:5" x14ac:dyDescent="0.25">
      <c r="B22" s="1" t="s">
        <v>238</v>
      </c>
      <c r="C22" s="24" t="s">
        <v>37</v>
      </c>
      <c r="D22" s="52">
        <v>219</v>
      </c>
      <c r="E22" s="52">
        <v>274</v>
      </c>
    </row>
    <row r="23" spans="2:5" x14ac:dyDescent="0.25">
      <c r="B23" s="1" t="s">
        <v>376</v>
      </c>
      <c r="C23" s="24" t="s">
        <v>37</v>
      </c>
      <c r="D23" s="52">
        <f>141+15</f>
        <v>156</v>
      </c>
      <c r="E23" s="52">
        <f>1348+15</f>
        <v>1363</v>
      </c>
    </row>
    <row r="24" spans="2:5" x14ac:dyDescent="0.25">
      <c r="B24" s="1" t="s">
        <v>243</v>
      </c>
      <c r="C24" s="29" t="s">
        <v>37</v>
      </c>
      <c r="D24" s="52">
        <v>262</v>
      </c>
      <c r="E24" s="52">
        <v>-821</v>
      </c>
    </row>
    <row r="25" spans="2:5" s="2" customFormat="1" ht="13.8" thickBot="1" x14ac:dyDescent="0.3">
      <c r="B25" s="19" t="s">
        <v>244</v>
      </c>
      <c r="C25" s="28" t="s">
        <v>37</v>
      </c>
      <c r="D25" s="20">
        <f>SUM(D18:D24)</f>
        <v>16685</v>
      </c>
      <c r="E25" s="20">
        <f>SUM(E18:E24)</f>
        <v>6006</v>
      </c>
    </row>
    <row r="26" spans="2:5" x14ac:dyDescent="0.25">
      <c r="D26" s="12"/>
      <c r="E26" s="12"/>
    </row>
    <row r="27" spans="2:5" x14ac:dyDescent="0.25">
      <c r="B27" s="39" t="s">
        <v>21</v>
      </c>
      <c r="D27" s="12"/>
      <c r="E27" s="12"/>
    </row>
    <row r="28" spans="2:5" x14ac:dyDescent="0.25">
      <c r="B28" s="1" t="s">
        <v>12</v>
      </c>
      <c r="C28" s="24" t="s">
        <v>37</v>
      </c>
      <c r="D28" s="159">
        <v>42131</v>
      </c>
      <c r="E28" s="159">
        <v>25941</v>
      </c>
    </row>
    <row r="29" spans="2:5" x14ac:dyDescent="0.25">
      <c r="B29" s="1" t="s">
        <v>368</v>
      </c>
      <c r="C29" s="24" t="s">
        <v>37</v>
      </c>
      <c r="D29" s="159">
        <v>0</v>
      </c>
      <c r="E29" s="159">
        <v>1865</v>
      </c>
    </row>
    <row r="30" spans="2:5" x14ac:dyDescent="0.25">
      <c r="B30" s="1" t="s">
        <v>13</v>
      </c>
      <c r="C30" s="24" t="s">
        <v>37</v>
      </c>
      <c r="D30" s="159">
        <v>7563</v>
      </c>
      <c r="E30" s="159">
        <v>5546</v>
      </c>
    </row>
    <row r="31" spans="2:5" x14ac:dyDescent="0.25">
      <c r="B31" s="1" t="s">
        <v>219</v>
      </c>
      <c r="C31" s="24" t="s">
        <v>37</v>
      </c>
      <c r="D31" s="159">
        <v>81</v>
      </c>
      <c r="E31" s="159">
        <v>65</v>
      </c>
    </row>
    <row r="32" spans="2:5" x14ac:dyDescent="0.25">
      <c r="B32" s="1" t="s">
        <v>14</v>
      </c>
      <c r="C32" s="24" t="s">
        <v>37</v>
      </c>
      <c r="D32" s="159">
        <v>10120</v>
      </c>
      <c r="E32" s="159">
        <v>11563</v>
      </c>
    </row>
    <row r="33" spans="2:5" x14ac:dyDescent="0.25">
      <c r="B33" s="1" t="s">
        <v>15</v>
      </c>
      <c r="C33" s="24" t="s">
        <v>37</v>
      </c>
      <c r="D33" s="159">
        <v>17734</v>
      </c>
      <c r="E33" s="159">
        <v>16144</v>
      </c>
    </row>
    <row r="34" spans="2:5" ht="13.8" thickBot="1" x14ac:dyDescent="0.3">
      <c r="B34" s="19" t="s">
        <v>16</v>
      </c>
      <c r="C34" s="28" t="s">
        <v>37</v>
      </c>
      <c r="D34" s="20">
        <f t="shared" ref="D34:E34" si="1">SUM(D28:D33)</f>
        <v>77629</v>
      </c>
      <c r="E34" s="20">
        <f t="shared" si="1"/>
        <v>61124</v>
      </c>
    </row>
    <row r="35" spans="2:5" x14ac:dyDescent="0.25">
      <c r="B35" s="1" t="s">
        <v>17</v>
      </c>
      <c r="C35" s="24" t="s">
        <v>37</v>
      </c>
      <c r="D35" s="159">
        <v>8775</v>
      </c>
      <c r="E35" s="159">
        <v>7313</v>
      </c>
    </row>
    <row r="36" spans="2:5" x14ac:dyDescent="0.25">
      <c r="B36" s="1" t="s">
        <v>18</v>
      </c>
      <c r="C36" s="24" t="s">
        <v>37</v>
      </c>
      <c r="D36" s="159">
        <v>11630</v>
      </c>
      <c r="E36" s="159">
        <v>12891</v>
      </c>
    </row>
    <row r="37" spans="2:5" ht="13.8" thickBot="1" x14ac:dyDescent="0.3">
      <c r="B37" s="19" t="s">
        <v>19</v>
      </c>
      <c r="C37" s="28" t="s">
        <v>37</v>
      </c>
      <c r="D37" s="20">
        <f t="shared" ref="D37:E37" si="2">SUM(D35:D36)</f>
        <v>20405</v>
      </c>
      <c r="E37" s="20">
        <f t="shared" si="2"/>
        <v>20204</v>
      </c>
    </row>
    <row r="38" spans="2:5" x14ac:dyDescent="0.25">
      <c r="D38" s="12"/>
      <c r="E38" s="12"/>
    </row>
    <row r="39" spans="2:5" x14ac:dyDescent="0.25">
      <c r="B39" s="39" t="s">
        <v>20</v>
      </c>
      <c r="D39" s="12"/>
      <c r="E39" s="12"/>
    </row>
    <row r="40" spans="2:5" x14ac:dyDescent="0.25">
      <c r="B40" s="16" t="s">
        <v>223</v>
      </c>
      <c r="C40" s="27" t="s">
        <v>37</v>
      </c>
      <c r="D40" s="122">
        <v>7415</v>
      </c>
      <c r="E40" s="122">
        <v>5232</v>
      </c>
    </row>
    <row r="41" spans="2:5" x14ac:dyDescent="0.25">
      <c r="D41" s="12"/>
      <c r="E41" s="12"/>
    </row>
    <row r="42" spans="2:5" x14ac:dyDescent="0.25">
      <c r="B42" s="2" t="s">
        <v>22</v>
      </c>
      <c r="D42" s="12"/>
      <c r="E42" s="12"/>
    </row>
    <row r="43" spans="2:5" x14ac:dyDescent="0.25">
      <c r="B43" s="1" t="s">
        <v>220</v>
      </c>
      <c r="C43" s="24" t="s">
        <v>37</v>
      </c>
      <c r="D43" s="159">
        <v>10053</v>
      </c>
      <c r="E43" s="159">
        <v>8902</v>
      </c>
    </row>
    <row r="44" spans="2:5" x14ac:dyDescent="0.25">
      <c r="B44" s="1" t="s">
        <v>221</v>
      </c>
      <c r="C44" s="24" t="s">
        <v>37</v>
      </c>
      <c r="D44" s="159">
        <v>1274</v>
      </c>
      <c r="E44" s="159">
        <v>1272</v>
      </c>
    </row>
    <row r="45" spans="2:5" x14ac:dyDescent="0.25">
      <c r="D45" s="12"/>
      <c r="E45" s="12"/>
    </row>
    <row r="46" spans="2:5" x14ac:dyDescent="0.25">
      <c r="B46" s="16" t="s">
        <v>23</v>
      </c>
      <c r="C46" s="27" t="s">
        <v>198</v>
      </c>
      <c r="D46" s="53">
        <v>4970</v>
      </c>
      <c r="E46" s="53">
        <v>4953</v>
      </c>
    </row>
    <row r="47" spans="2:5" x14ac:dyDescent="0.25">
      <c r="D47" s="12"/>
      <c r="E47" s="12"/>
    </row>
    <row r="48" spans="2:5" x14ac:dyDescent="0.25">
      <c r="B48" s="39" t="s">
        <v>54</v>
      </c>
      <c r="D48" s="12"/>
      <c r="E48" s="12"/>
    </row>
    <row r="49" spans="2:5" x14ac:dyDescent="0.25">
      <c r="D49" s="12"/>
      <c r="E49" s="12"/>
    </row>
    <row r="50" spans="2:5" x14ac:dyDescent="0.25">
      <c r="B50" s="2" t="s">
        <v>192</v>
      </c>
      <c r="D50" s="12"/>
      <c r="E50" s="12"/>
    </row>
    <row r="51" spans="2:5" x14ac:dyDescent="0.25">
      <c r="B51" s="1" t="str">
        <f>Assumptions!B7</f>
        <v>R/US$ exchange rate - avg</v>
      </c>
      <c r="C51" s="24" t="str">
        <f>Assumptions!C7</f>
        <v>R:1US$</v>
      </c>
      <c r="D51" s="35">
        <f>Assumptions!E7</f>
        <v>14.2</v>
      </c>
      <c r="E51" s="35">
        <f>Assumptions!F7</f>
        <v>15.69</v>
      </c>
    </row>
    <row r="52" spans="2:5" x14ac:dyDescent="0.25">
      <c r="B52" s="1" t="str">
        <f>Assumptions!B8</f>
        <v>Oil price (Brent) - avg</v>
      </c>
      <c r="C52" s="24" t="str">
        <f>Assumptions!C8</f>
        <v>US$/bbl</v>
      </c>
      <c r="D52" s="35">
        <f>Assumptions!E8</f>
        <v>68.63</v>
      </c>
      <c r="E52" s="35">
        <f>Assumptions!F8</f>
        <v>51.22</v>
      </c>
    </row>
    <row r="53" spans="2:5" x14ac:dyDescent="0.25">
      <c r="B53" s="1" t="str">
        <f>Assumptions!B31</f>
        <v>Refining margin - diesel SA</v>
      </c>
      <c r="C53" s="24" t="str">
        <f>Assumptions!C31</f>
        <v>US$/bbl</v>
      </c>
      <c r="D53" s="145">
        <f>Assumptions!E31</f>
        <v>17.670000000000002</v>
      </c>
      <c r="E53" s="145">
        <f>Assumptions!F31</f>
        <v>16.02</v>
      </c>
    </row>
    <row r="54" spans="2:5" x14ac:dyDescent="0.25">
      <c r="B54" s="1" t="str">
        <f>Assumptions!B32</f>
        <v>Refining margin - petrol SA</v>
      </c>
      <c r="C54" s="24" t="str">
        <f>Assumptions!C32</f>
        <v>US$/bbl</v>
      </c>
      <c r="D54" s="145">
        <f>Assumptions!E32</f>
        <v>10.01</v>
      </c>
      <c r="E54" s="145">
        <f>Assumptions!F32</f>
        <v>10.65</v>
      </c>
    </row>
    <row r="55" spans="2:5" x14ac:dyDescent="0.25">
      <c r="B55" s="1" t="str">
        <f>Assumptions!B33</f>
        <v>Retail margin earned via retail sales</v>
      </c>
      <c r="C55" s="24" t="str">
        <f>Assumptions!C33</f>
        <v>US$/bbl</v>
      </c>
      <c r="D55" s="145">
        <f>Assumptions!E33</f>
        <v>22.15647887323944</v>
      </c>
      <c r="E55" s="145">
        <f>Assumptions!F33</f>
        <v>21.368961121733587</v>
      </c>
    </row>
    <row r="56" spans="2:5" x14ac:dyDescent="0.25">
      <c r="B56" s="1" t="str">
        <f>Assumptions!B34</f>
        <v>Black product premium/(discount) to Brent oil - SA</v>
      </c>
      <c r="C56" s="24" t="str">
        <f>Assumptions!C34</f>
        <v>US$/bbl</v>
      </c>
      <c r="D56" s="145">
        <f>Assumptions!E34</f>
        <v>0</v>
      </c>
      <c r="E56" s="145">
        <f>Assumptions!F34</f>
        <v>0</v>
      </c>
    </row>
    <row r="57" spans="2:5" x14ac:dyDescent="0.25">
      <c r="B57" s="1" t="str">
        <f>Assumptions!B30</f>
        <v>Natref crude oil premium/(discount) to Brent</v>
      </c>
      <c r="C57" s="24" t="str">
        <f>Assumptions!C30</f>
        <v>US$/bbl</v>
      </c>
      <c r="D57" s="145">
        <f>Assumptions!E30</f>
        <v>7.5</v>
      </c>
      <c r="E57" s="145">
        <f>Assumptions!F30</f>
        <v>20.5</v>
      </c>
    </row>
    <row r="58" spans="2:5" x14ac:dyDescent="0.25">
      <c r="B58" s="1" t="str">
        <f>Assumptions!B27</f>
        <v>Dubai crude oil premium/(discount) to Brent</v>
      </c>
      <c r="C58" s="24" t="str">
        <f>Assumptions!C27</f>
        <v>US$/bbl</v>
      </c>
      <c r="D58" s="145">
        <v>-1.5</v>
      </c>
      <c r="E58" s="145">
        <f>Assumptions!F27</f>
        <v>0</v>
      </c>
    </row>
    <row r="59" spans="2:5" x14ac:dyDescent="0.25">
      <c r="B59" s="1" t="str">
        <f>Assumptions!B28</f>
        <v>Refining margin - diesel Dubai</v>
      </c>
      <c r="C59" s="24" t="str">
        <f>Assumptions!C28</f>
        <v>US$/bbl</v>
      </c>
      <c r="D59" s="145">
        <v>15</v>
      </c>
      <c r="E59" s="145">
        <v>15</v>
      </c>
    </row>
    <row r="60" spans="2:5" x14ac:dyDescent="0.25">
      <c r="B60" s="1" t="str">
        <f>Assumptions!B35</f>
        <v>Naphtha premium/(discount) to Dubai oil - Oryx</v>
      </c>
      <c r="C60" s="24" t="str">
        <f>Assumptions!C35</f>
        <v>US$/bbl</v>
      </c>
      <c r="D60" s="145">
        <f>Assumptions!E35</f>
        <v>-3.3815</v>
      </c>
      <c r="E60" s="145">
        <f>Assumptions!F35</f>
        <v>0</v>
      </c>
    </row>
    <row r="61" spans="2:5" x14ac:dyDescent="0.25">
      <c r="B61" s="1" t="str">
        <f>Assumptions!B22</f>
        <v>LPG premium/(discount) to Dubai oil - Oryx</v>
      </c>
      <c r="C61" s="24" t="str">
        <f>Assumptions!C22</f>
        <v>US$/bbl</v>
      </c>
      <c r="D61" s="145">
        <f>Assumptions!E22</f>
        <v>-16.907499999999999</v>
      </c>
      <c r="E61" s="145">
        <f>Assumptions!F22</f>
        <v>-12.805</v>
      </c>
    </row>
    <row r="62" spans="2:5" x14ac:dyDescent="0.25">
      <c r="D62" s="24"/>
      <c r="E62" s="24"/>
    </row>
    <row r="63" spans="2:5" x14ac:dyDescent="0.25">
      <c r="B63" s="2" t="s">
        <v>279</v>
      </c>
      <c r="C63" s="24" t="s">
        <v>282</v>
      </c>
      <c r="D63" s="142">
        <v>7619</v>
      </c>
      <c r="E63" s="142">
        <v>7373</v>
      </c>
    </row>
    <row r="64" spans="2:5" x14ac:dyDescent="0.25">
      <c r="B64" s="9" t="s">
        <v>280</v>
      </c>
      <c r="C64" s="24" t="s">
        <v>40</v>
      </c>
      <c r="D64" s="143">
        <v>0.56999999999999995</v>
      </c>
      <c r="E64" s="143">
        <v>0.56999999999999995</v>
      </c>
    </row>
    <row r="65" spans="2:5" x14ac:dyDescent="0.25">
      <c r="B65" s="9" t="s">
        <v>281</v>
      </c>
      <c r="C65" s="24" t="s">
        <v>40</v>
      </c>
      <c r="D65" s="143">
        <v>0.43</v>
      </c>
      <c r="E65" s="143">
        <v>0.43</v>
      </c>
    </row>
    <row r="66" spans="2:5" x14ac:dyDescent="0.25">
      <c r="B66" s="2" t="s">
        <v>283</v>
      </c>
      <c r="C66" s="29" t="s">
        <v>61</v>
      </c>
      <c r="D66" s="80">
        <v>32.6</v>
      </c>
      <c r="E66" s="80">
        <v>31.2</v>
      </c>
    </row>
    <row r="67" spans="2:5" x14ac:dyDescent="0.25">
      <c r="D67" s="12"/>
      <c r="E67" s="12"/>
    </row>
    <row r="68" spans="2:5" x14ac:dyDescent="0.25">
      <c r="B68" s="2" t="s">
        <v>229</v>
      </c>
      <c r="D68" s="12"/>
      <c r="E68" s="12"/>
    </row>
    <row r="69" spans="2:5" x14ac:dyDescent="0.25">
      <c r="B69" s="9" t="s">
        <v>290</v>
      </c>
      <c r="C69" s="24" t="s">
        <v>205</v>
      </c>
      <c r="D69" s="142">
        <v>1564</v>
      </c>
      <c r="E69" s="142">
        <v>1539</v>
      </c>
    </row>
    <row r="70" spans="2:5" x14ac:dyDescent="0.25">
      <c r="B70" s="9" t="s">
        <v>284</v>
      </c>
      <c r="C70" s="24" t="s">
        <v>40</v>
      </c>
      <c r="D70" s="143">
        <v>0.71</v>
      </c>
      <c r="E70" s="143">
        <v>0.72</v>
      </c>
    </row>
    <row r="71" spans="2:5" x14ac:dyDescent="0.25">
      <c r="B71" s="9" t="s">
        <v>285</v>
      </c>
      <c r="C71" s="24" t="s">
        <v>40</v>
      </c>
      <c r="D71" s="143">
        <v>0.53</v>
      </c>
      <c r="E71" s="143">
        <v>0.52</v>
      </c>
    </row>
    <row r="72" spans="2:5" x14ac:dyDescent="0.25">
      <c r="B72" s="9"/>
      <c r="D72" s="55"/>
      <c r="E72" s="55"/>
    </row>
    <row r="73" spans="2:5" x14ac:dyDescent="0.25">
      <c r="B73" s="43" t="s">
        <v>286</v>
      </c>
      <c r="D73" s="55"/>
      <c r="E73" s="55"/>
    </row>
    <row r="74" spans="2:5" s="42" customFormat="1" x14ac:dyDescent="0.25">
      <c r="B74" s="41" t="s">
        <v>224</v>
      </c>
      <c r="C74" s="29" t="s">
        <v>61</v>
      </c>
      <c r="D74" s="80">
        <v>22.2</v>
      </c>
      <c r="E74" s="80">
        <v>17.2</v>
      </c>
    </row>
    <row r="75" spans="2:5" s="42" customFormat="1" x14ac:dyDescent="0.25">
      <c r="B75" s="41" t="s">
        <v>288</v>
      </c>
      <c r="C75" s="24" t="s">
        <v>40</v>
      </c>
      <c r="D75" s="144">
        <v>0.89400000000000002</v>
      </c>
      <c r="E75" s="144">
        <v>0.89400000000000002</v>
      </c>
    </row>
    <row r="76" spans="2:5" s="42" customFormat="1" x14ac:dyDescent="0.25">
      <c r="B76" s="41" t="s">
        <v>289</v>
      </c>
      <c r="C76" s="24" t="s">
        <v>40</v>
      </c>
      <c r="D76" s="144">
        <v>0.97299999999999998</v>
      </c>
      <c r="E76" s="144">
        <v>0.97399999999999998</v>
      </c>
    </row>
    <row r="77" spans="2:5" x14ac:dyDescent="0.25">
      <c r="B77" s="9" t="s">
        <v>287</v>
      </c>
      <c r="C77" s="29" t="s">
        <v>61</v>
      </c>
      <c r="D77" s="80">
        <v>21.6</v>
      </c>
      <c r="E77" s="80">
        <v>16.8</v>
      </c>
    </row>
    <row r="78" spans="2:5" x14ac:dyDescent="0.25">
      <c r="B78" s="43" t="s">
        <v>291</v>
      </c>
      <c r="D78" s="55"/>
      <c r="E78" s="55"/>
    </row>
    <row r="79" spans="2:5" x14ac:dyDescent="0.25">
      <c r="B79" s="9" t="s">
        <v>287</v>
      </c>
      <c r="C79" s="29" t="s">
        <v>61</v>
      </c>
      <c r="D79" s="109">
        <v>4.67</v>
      </c>
      <c r="E79" s="109">
        <v>3.31</v>
      </c>
    </row>
    <row r="80" spans="2:5" x14ac:dyDescent="0.25">
      <c r="B80" s="9" t="s">
        <v>292</v>
      </c>
      <c r="C80" s="24" t="s">
        <v>40</v>
      </c>
      <c r="D80" s="143">
        <v>0.81</v>
      </c>
      <c r="E80" s="143">
        <v>0.56999999999999995</v>
      </c>
    </row>
    <row r="81" spans="2:5" x14ac:dyDescent="0.25">
      <c r="D81" s="12"/>
      <c r="E81" s="12"/>
    </row>
    <row r="82" spans="2:5" s="42" customFormat="1" x14ac:dyDescent="0.25">
      <c r="B82" s="93" t="s">
        <v>293</v>
      </c>
      <c r="C82" s="29" t="s">
        <v>61</v>
      </c>
      <c r="D82" s="80">
        <v>5.6</v>
      </c>
      <c r="E82" s="80">
        <v>3.3</v>
      </c>
    </row>
    <row r="83" spans="2:5" x14ac:dyDescent="0.25">
      <c r="D83" s="12"/>
      <c r="E83" s="12"/>
    </row>
    <row r="84" spans="2:5" s="2" customFormat="1" x14ac:dyDescent="0.25">
      <c r="B84" s="2" t="s">
        <v>294</v>
      </c>
      <c r="C84" s="25"/>
      <c r="D84" s="45"/>
      <c r="E84" s="45"/>
    </row>
    <row r="85" spans="2:5" x14ac:dyDescent="0.25">
      <c r="B85" s="9" t="s">
        <v>295</v>
      </c>
      <c r="C85" s="29" t="s">
        <v>61</v>
      </c>
      <c r="D85" s="78">
        <f>60-D86</f>
        <v>57.5</v>
      </c>
      <c r="E85" s="78">
        <v>50.4</v>
      </c>
    </row>
    <row r="86" spans="2:5" s="42" customFormat="1" x14ac:dyDescent="0.25">
      <c r="B86" s="9" t="s">
        <v>296</v>
      </c>
      <c r="C86" s="29" t="s">
        <v>61</v>
      </c>
      <c r="D86" s="80">
        <v>2.5</v>
      </c>
      <c r="E86" s="80">
        <v>2.2999999999999998</v>
      </c>
    </row>
    <row r="87" spans="2:5" x14ac:dyDescent="0.25">
      <c r="D87" s="32"/>
      <c r="E87" s="32"/>
    </row>
    <row r="88" spans="2:5" x14ac:dyDescent="0.25">
      <c r="B88" s="2" t="s">
        <v>297</v>
      </c>
      <c r="D88" s="24"/>
      <c r="E88" s="24"/>
    </row>
    <row r="89" spans="2:5" x14ac:dyDescent="0.25">
      <c r="B89" s="43" t="s">
        <v>58</v>
      </c>
      <c r="D89" s="24"/>
      <c r="E89" s="24"/>
    </row>
    <row r="90" spans="2:5" s="42" customFormat="1" x14ac:dyDescent="0.25">
      <c r="B90" s="41" t="s">
        <v>299</v>
      </c>
      <c r="C90" s="29" t="s">
        <v>77</v>
      </c>
      <c r="D90" s="54">
        <f t="shared" ref="D90:E90" si="3">D94/70%*30%</f>
        <v>13.885714285714284</v>
      </c>
      <c r="E90" s="54">
        <f t="shared" si="3"/>
        <v>12.942857142857143</v>
      </c>
    </row>
    <row r="91" spans="2:5" s="42" customFormat="1" x14ac:dyDescent="0.25">
      <c r="B91" s="41"/>
      <c r="C91" s="29"/>
      <c r="D91" s="29"/>
      <c r="E91" s="29"/>
    </row>
    <row r="92" spans="2:5" s="42" customFormat="1" x14ac:dyDescent="0.25">
      <c r="B92" s="43" t="s">
        <v>63</v>
      </c>
      <c r="C92" s="29"/>
      <c r="D92" s="29"/>
      <c r="E92" s="29"/>
    </row>
    <row r="93" spans="2:5" s="42" customFormat="1" x14ac:dyDescent="0.25">
      <c r="B93" s="41" t="s">
        <v>209</v>
      </c>
      <c r="C93" s="24" t="s">
        <v>36</v>
      </c>
      <c r="D93" s="54">
        <f>Mining!D61</f>
        <v>22.6</v>
      </c>
      <c r="E93" s="54">
        <f>Mining!E61</f>
        <v>23.5</v>
      </c>
    </row>
    <row r="94" spans="2:5" s="42" customFormat="1" x14ac:dyDescent="0.25">
      <c r="B94" s="41" t="s">
        <v>298</v>
      </c>
      <c r="C94" s="29" t="s">
        <v>77</v>
      </c>
      <c r="D94" s="54">
        <f>Gas!D73</f>
        <v>32.4</v>
      </c>
      <c r="E94" s="54">
        <f>Gas!E73</f>
        <v>30.2</v>
      </c>
    </row>
    <row r="95" spans="2:5" s="42" customFormat="1" x14ac:dyDescent="0.25">
      <c r="B95" s="41"/>
      <c r="C95" s="29"/>
      <c r="D95" s="29"/>
      <c r="E95" s="29"/>
    </row>
    <row r="96" spans="2:5" x14ac:dyDescent="0.25">
      <c r="B96" s="2" t="s">
        <v>396</v>
      </c>
      <c r="C96" s="24" t="s">
        <v>40</v>
      </c>
      <c r="D96" s="165">
        <v>0.38</v>
      </c>
      <c r="E96" s="165">
        <v>0.31</v>
      </c>
    </row>
    <row r="97" spans="2:5" x14ac:dyDescent="0.25">
      <c r="B97" s="2" t="s">
        <v>400</v>
      </c>
      <c r="C97" s="24" t="s">
        <v>37</v>
      </c>
      <c r="D97" s="166">
        <v>14126</v>
      </c>
      <c r="E97" s="166">
        <v>14215</v>
      </c>
    </row>
    <row r="98" spans="2:5" x14ac:dyDescent="0.25">
      <c r="B98" s="2"/>
      <c r="D98" s="167"/>
      <c r="E98" s="167"/>
    </row>
    <row r="99" spans="2:5" x14ac:dyDescent="0.25">
      <c r="B99" s="2" t="s">
        <v>177</v>
      </c>
      <c r="C99" s="24" t="s">
        <v>40</v>
      </c>
      <c r="D99" s="165">
        <v>0.09</v>
      </c>
      <c r="E99" s="165">
        <v>0.28999999999999998</v>
      </c>
    </row>
    <row r="100" spans="2:5" x14ac:dyDescent="0.25">
      <c r="D100" s="12"/>
      <c r="E100" s="12"/>
    </row>
    <row r="101" spans="2:5" x14ac:dyDescent="0.25">
      <c r="B101" s="39" t="s">
        <v>38</v>
      </c>
      <c r="D101" s="12"/>
      <c r="E101" s="12"/>
    </row>
    <row r="102" spans="2:5" x14ac:dyDescent="0.25">
      <c r="B102" s="9" t="s">
        <v>39</v>
      </c>
      <c r="C102" s="24" t="s">
        <v>37</v>
      </c>
      <c r="D102" s="17">
        <f>SUM(D103:D106)</f>
        <v>77078.638762399991</v>
      </c>
      <c r="E102" s="17">
        <f>SUM(E103:E106)</f>
        <v>59904.916589759989</v>
      </c>
    </row>
    <row r="103" spans="2:5" x14ac:dyDescent="0.25">
      <c r="B103" s="9" t="s">
        <v>75</v>
      </c>
      <c r="C103" s="24" t="s">
        <v>37</v>
      </c>
      <c r="D103" s="12">
        <f t="shared" ref="D103" si="4">SUM(D110:D111)</f>
        <v>67029.659012399992</v>
      </c>
      <c r="E103" s="12">
        <f>SUM(E110:E111)</f>
        <v>50777.175209759997</v>
      </c>
    </row>
    <row r="104" spans="2:5" x14ac:dyDescent="0.25">
      <c r="B104" s="9" t="s">
        <v>76</v>
      </c>
      <c r="C104" s="24" t="s">
        <v>37</v>
      </c>
      <c r="D104" s="12">
        <f>D86*D51*(D52+D56)</f>
        <v>2436.3649999999998</v>
      </c>
      <c r="E104" s="12">
        <f>E86*E51*(E52+E56)</f>
        <v>1848.3761399999999</v>
      </c>
    </row>
    <row r="105" spans="2:5" x14ac:dyDescent="0.25">
      <c r="B105" s="9" t="s">
        <v>390</v>
      </c>
      <c r="C105" s="24" t="s">
        <v>37</v>
      </c>
      <c r="D105" s="136">
        <f>D85*6*D51</f>
        <v>4899</v>
      </c>
      <c r="E105" s="136">
        <f>E85*6*E51</f>
        <v>4744.655999999999</v>
      </c>
    </row>
    <row r="106" spans="2:5" x14ac:dyDescent="0.25">
      <c r="B106" s="9" t="s">
        <v>193</v>
      </c>
      <c r="C106" s="24" t="s">
        <v>37</v>
      </c>
      <c r="D106" s="17">
        <f>D51*D55*D85*30%*50%</f>
        <v>2713.6147499999997</v>
      </c>
      <c r="E106" s="17">
        <f>E51*E55*E85*30%*50%</f>
        <v>2534.7092400000001</v>
      </c>
    </row>
    <row r="107" spans="2:5" x14ac:dyDescent="0.25">
      <c r="B107" s="9" t="s">
        <v>41</v>
      </c>
      <c r="C107" s="24" t="s">
        <v>37</v>
      </c>
      <c r="D107" s="31">
        <f>D8</f>
        <v>76985</v>
      </c>
      <c r="E107" s="31">
        <f>E8</f>
        <v>60816</v>
      </c>
    </row>
    <row r="108" spans="2:5" x14ac:dyDescent="0.25">
      <c r="B108" s="9" t="s">
        <v>42</v>
      </c>
      <c r="C108" s="24" t="s">
        <v>40</v>
      </c>
      <c r="D108" s="169">
        <f>D107/D102-1</f>
        <v>-1.2148471211153034E-3</v>
      </c>
      <c r="E108" s="169">
        <f>E107/E102-1</f>
        <v>1.5208825286900485E-2</v>
      </c>
    </row>
    <row r="110" spans="2:5" x14ac:dyDescent="0.25">
      <c r="B110" s="1" t="s">
        <v>97</v>
      </c>
      <c r="C110" s="24" t="s">
        <v>37</v>
      </c>
      <c r="D110" s="31">
        <f>D128*D51*(D52+D53)</f>
        <v>31772.133781999997</v>
      </c>
      <c r="E110" s="31">
        <f>E128*E51*(E52+E53)</f>
        <v>23187.959291519997</v>
      </c>
    </row>
    <row r="111" spans="2:5" x14ac:dyDescent="0.25">
      <c r="B111" s="1" t="s">
        <v>98</v>
      </c>
      <c r="C111" s="24" t="s">
        <v>37</v>
      </c>
      <c r="D111" s="31">
        <f>D133*D51*(D52+D54)</f>
        <v>35257.525230400002</v>
      </c>
      <c r="E111" s="31">
        <f>E133*E51*(E52+E54)</f>
        <v>27589.215918239999</v>
      </c>
    </row>
    <row r="113" spans="2:5" x14ac:dyDescent="0.25">
      <c r="B113" s="1" t="s">
        <v>90</v>
      </c>
      <c r="C113" s="24" t="s">
        <v>61</v>
      </c>
      <c r="D113" s="36">
        <f>D74*D75</f>
        <v>19.846799999999998</v>
      </c>
      <c r="E113" s="36">
        <f>E74*E75</f>
        <v>15.376799999999999</v>
      </c>
    </row>
    <row r="114" spans="2:5" x14ac:dyDescent="0.25">
      <c r="B114" s="1" t="s">
        <v>86</v>
      </c>
      <c r="C114" s="24" t="s">
        <v>61</v>
      </c>
      <c r="D114" s="36">
        <f>D82</f>
        <v>5.6</v>
      </c>
      <c r="E114" s="36">
        <f>E82</f>
        <v>3.3</v>
      </c>
    </row>
    <row r="115" spans="2:5" x14ac:dyDescent="0.25">
      <c r="B115" s="1" t="s">
        <v>87</v>
      </c>
      <c r="C115" s="24" t="s">
        <v>61</v>
      </c>
      <c r="D115" s="36">
        <f t="shared" ref="D115:E115" si="5">D116-SUM(D113:D114)</f>
        <v>32.053200000000004</v>
      </c>
      <c r="E115" s="36">
        <f t="shared" si="5"/>
        <v>31.723199999999999</v>
      </c>
    </row>
    <row r="116" spans="2:5" s="2" customFormat="1" x14ac:dyDescent="0.25">
      <c r="B116" s="2" t="s">
        <v>231</v>
      </c>
      <c r="C116" s="25" t="s">
        <v>61</v>
      </c>
      <c r="D116" s="108">
        <f>D85</f>
        <v>57.5</v>
      </c>
      <c r="E116" s="108">
        <f>E85</f>
        <v>50.4</v>
      </c>
    </row>
    <row r="118" spans="2:5" x14ac:dyDescent="0.25">
      <c r="B118" s="2" t="s">
        <v>93</v>
      </c>
    </row>
    <row r="119" spans="2:5" x14ac:dyDescent="0.25">
      <c r="B119" s="1" t="s">
        <v>91</v>
      </c>
      <c r="C119" s="24" t="s">
        <v>40</v>
      </c>
      <c r="D119" s="106">
        <v>0.6</v>
      </c>
      <c r="E119" s="106">
        <v>0.6</v>
      </c>
    </row>
    <row r="120" spans="2:5" x14ac:dyDescent="0.25">
      <c r="B120" s="1" t="s">
        <v>89</v>
      </c>
      <c r="C120" s="24" t="s">
        <v>40</v>
      </c>
      <c r="D120" s="84">
        <v>0.5</v>
      </c>
      <c r="E120" s="84">
        <v>0.5</v>
      </c>
    </row>
    <row r="121" spans="2:5" x14ac:dyDescent="0.25">
      <c r="B121" s="1" t="s">
        <v>92</v>
      </c>
      <c r="C121" s="24" t="s">
        <v>40</v>
      </c>
      <c r="D121" s="106">
        <v>0.35</v>
      </c>
      <c r="E121" s="106">
        <v>0.35</v>
      </c>
    </row>
    <row r="123" spans="2:5" x14ac:dyDescent="0.25">
      <c r="B123" s="2" t="s">
        <v>94</v>
      </c>
    </row>
    <row r="124" spans="2:5" x14ac:dyDescent="0.25">
      <c r="B124" s="1" t="str">
        <f>B119</f>
        <v>Natref Operations</v>
      </c>
      <c r="C124" s="24" t="s">
        <v>40</v>
      </c>
      <c r="D124" s="38">
        <f t="shared" ref="D124:E124" si="6">1-D119</f>
        <v>0.4</v>
      </c>
      <c r="E124" s="38">
        <f t="shared" si="6"/>
        <v>0.4</v>
      </c>
    </row>
    <row r="125" spans="2:5" x14ac:dyDescent="0.25">
      <c r="B125" s="1" t="str">
        <f>B120</f>
        <v>Purchased product</v>
      </c>
      <c r="C125" s="24" t="s">
        <v>40</v>
      </c>
      <c r="D125" s="38">
        <f t="shared" ref="D125:E125" si="7">1-D120</f>
        <v>0.5</v>
      </c>
      <c r="E125" s="38">
        <f t="shared" si="7"/>
        <v>0.5</v>
      </c>
    </row>
    <row r="126" spans="2:5" x14ac:dyDescent="0.25">
      <c r="B126" s="1" t="str">
        <f>B121</f>
        <v>Synfuels Operations (post Project Turbo)</v>
      </c>
      <c r="C126" s="24" t="s">
        <v>40</v>
      </c>
      <c r="D126" s="38">
        <f t="shared" ref="D126:E126" si="8">1-D121</f>
        <v>0.65</v>
      </c>
      <c r="E126" s="38">
        <f t="shared" si="8"/>
        <v>0.65</v>
      </c>
    </row>
    <row r="128" spans="2:5" x14ac:dyDescent="0.25">
      <c r="B128" s="2" t="s">
        <v>95</v>
      </c>
      <c r="C128" s="24" t="s">
        <v>61</v>
      </c>
      <c r="D128" s="46">
        <f t="shared" ref="D128:E128" si="9">SUM(D129:D131)</f>
        <v>25.9267</v>
      </c>
      <c r="E128" s="46">
        <f t="shared" si="9"/>
        <v>21.979199999999999</v>
      </c>
    </row>
    <row r="129" spans="2:5" x14ac:dyDescent="0.25">
      <c r="B129" s="1" t="s">
        <v>91</v>
      </c>
      <c r="C129" s="24" t="s">
        <v>61</v>
      </c>
      <c r="D129" s="36">
        <f t="shared" ref="D129:E129" si="10">D113*D119</f>
        <v>11.908079999999998</v>
      </c>
      <c r="E129" s="36">
        <f t="shared" si="10"/>
        <v>9.2260799999999996</v>
      </c>
    </row>
    <row r="130" spans="2:5" x14ac:dyDescent="0.25">
      <c r="B130" s="1" t="s">
        <v>89</v>
      </c>
      <c r="C130" s="24" t="s">
        <v>61</v>
      </c>
      <c r="D130" s="36">
        <f t="shared" ref="D130:E130" si="11">D114*D120</f>
        <v>2.8</v>
      </c>
      <c r="E130" s="36">
        <f t="shared" si="11"/>
        <v>1.65</v>
      </c>
    </row>
    <row r="131" spans="2:5" x14ac:dyDescent="0.25">
      <c r="B131" s="1" t="s">
        <v>92</v>
      </c>
      <c r="C131" s="24" t="s">
        <v>61</v>
      </c>
      <c r="D131" s="46">
        <f t="shared" ref="D131:E131" si="12">D115*D121</f>
        <v>11.218620000000001</v>
      </c>
      <c r="E131" s="46">
        <f t="shared" si="12"/>
        <v>11.103119999999999</v>
      </c>
    </row>
    <row r="133" spans="2:5" x14ac:dyDescent="0.25">
      <c r="B133" s="2" t="s">
        <v>96</v>
      </c>
      <c r="C133" s="24" t="s">
        <v>61</v>
      </c>
      <c r="D133" s="46">
        <f t="shared" ref="D133:E133" si="13">SUM(D134:D136)</f>
        <v>31.573300000000003</v>
      </c>
      <c r="E133" s="46">
        <f t="shared" si="13"/>
        <v>28.4208</v>
      </c>
    </row>
    <row r="134" spans="2:5" x14ac:dyDescent="0.25">
      <c r="B134" s="1" t="str">
        <f>B129</f>
        <v>Natref Operations</v>
      </c>
      <c r="C134" s="24" t="s">
        <v>61</v>
      </c>
      <c r="D134" s="36">
        <f t="shared" ref="D134:E134" si="14">D113*D124</f>
        <v>7.93872</v>
      </c>
      <c r="E134" s="36">
        <f t="shared" si="14"/>
        <v>6.1507199999999997</v>
      </c>
    </row>
    <row r="135" spans="2:5" x14ac:dyDescent="0.25">
      <c r="B135" s="1" t="str">
        <f>B130</f>
        <v>Purchased product</v>
      </c>
      <c r="C135" s="24" t="s">
        <v>61</v>
      </c>
      <c r="D135" s="36">
        <f t="shared" ref="D135:E135" si="15">D114*D125</f>
        <v>2.8</v>
      </c>
      <c r="E135" s="36">
        <f t="shared" si="15"/>
        <v>1.65</v>
      </c>
    </row>
    <row r="136" spans="2:5" x14ac:dyDescent="0.25">
      <c r="B136" s="1" t="str">
        <f>B131</f>
        <v>Synfuels Operations (post Project Turbo)</v>
      </c>
      <c r="C136" s="24" t="s">
        <v>61</v>
      </c>
      <c r="D136" s="46">
        <f t="shared" ref="D136:E136" si="16">D115*D126</f>
        <v>20.834580000000003</v>
      </c>
      <c r="E136" s="46">
        <f t="shared" si="16"/>
        <v>20.620079999999998</v>
      </c>
    </row>
    <row r="138" spans="2:5" x14ac:dyDescent="0.25">
      <c r="B138" s="9" t="s">
        <v>106</v>
      </c>
      <c r="C138" s="24" t="s">
        <v>40</v>
      </c>
      <c r="D138" s="49">
        <f>D9/D8</f>
        <v>2.1289861661362604E-2</v>
      </c>
      <c r="E138" s="49">
        <f>E9/E8</f>
        <v>2.8561562746645619E-2</v>
      </c>
    </row>
    <row r="140" spans="2:5" x14ac:dyDescent="0.25">
      <c r="B140" s="9" t="s">
        <v>74</v>
      </c>
      <c r="C140" s="24" t="s">
        <v>37</v>
      </c>
      <c r="D140" s="31">
        <f>D7-(D25-D14)</f>
        <v>62847</v>
      </c>
      <c r="E140" s="31">
        <f>E7-(E25-E14)</f>
        <v>56200</v>
      </c>
    </row>
    <row r="141" spans="2:5" x14ac:dyDescent="0.25">
      <c r="B141" s="9" t="s">
        <v>397</v>
      </c>
      <c r="C141" s="24" t="s">
        <v>37</v>
      </c>
      <c r="D141" s="153">
        <f>D145</f>
        <v>48746.879999999997</v>
      </c>
      <c r="E141" s="153">
        <f>E145</f>
        <v>43161.57</v>
      </c>
    </row>
    <row r="142" spans="2:5" x14ac:dyDescent="0.25">
      <c r="B142" s="9" t="s">
        <v>399</v>
      </c>
      <c r="C142" s="24" t="s">
        <v>37</v>
      </c>
      <c r="D142" s="48">
        <f>D155</f>
        <v>14126</v>
      </c>
      <c r="E142" s="48">
        <f>E155</f>
        <v>14215</v>
      </c>
    </row>
    <row r="143" spans="2:5" x14ac:dyDescent="0.25">
      <c r="B143" s="9" t="s">
        <v>51</v>
      </c>
      <c r="C143" s="24" t="s">
        <v>37</v>
      </c>
      <c r="D143" s="47">
        <f>D140-D141-D142</f>
        <v>-25.879999999997381</v>
      </c>
      <c r="E143" s="47">
        <f>E140-E141-E142</f>
        <v>-1176.5699999999997</v>
      </c>
    </row>
    <row r="144" spans="2:5" x14ac:dyDescent="0.25">
      <c r="B144" s="9"/>
      <c r="D144" s="32"/>
      <c r="E144" s="32"/>
    </row>
    <row r="145" spans="2:5" x14ac:dyDescent="0.25">
      <c r="B145" s="9" t="s">
        <v>409</v>
      </c>
      <c r="C145" s="24" t="s">
        <v>37</v>
      </c>
      <c r="D145" s="31">
        <f>D7*(1-D96)</f>
        <v>48746.879999999997</v>
      </c>
      <c r="E145" s="31">
        <f>E7*(1-E96)</f>
        <v>43161.57</v>
      </c>
    </row>
    <row r="146" spans="2:5" x14ac:dyDescent="0.25">
      <c r="B146" s="9" t="s">
        <v>408</v>
      </c>
      <c r="C146" s="24" t="s">
        <v>37</v>
      </c>
      <c r="D146" s="47">
        <f t="shared" ref="D146:E146" si="17">SUM(D147:D151)</f>
        <v>43481.561840014212</v>
      </c>
      <c r="E146" s="47">
        <f t="shared" si="17"/>
        <v>36169.928108169552</v>
      </c>
    </row>
    <row r="147" spans="2:5" x14ac:dyDescent="0.25">
      <c r="B147" s="9" t="s">
        <v>104</v>
      </c>
      <c r="C147" s="24" t="s">
        <v>37</v>
      </c>
      <c r="D147" s="31">
        <f>D74*D51*(D52+D57)</f>
        <v>23999.221199999996</v>
      </c>
      <c r="E147" s="31">
        <f>E74*E51*(E52+E57)</f>
        <v>19354.932959999998</v>
      </c>
    </row>
    <row r="148" spans="2:5" x14ac:dyDescent="0.25">
      <c r="B148" s="41" t="s">
        <v>75</v>
      </c>
      <c r="C148" s="24" t="s">
        <v>37</v>
      </c>
      <c r="D148" s="48">
        <f>D82*D51*(D52+(D53*D120)+(D54*D125))</f>
        <v>6558.0144</v>
      </c>
      <c r="E148" s="48">
        <f>E82*E51*(E52+(E53*E120)+(E54*E125))</f>
        <v>3342.464234999999</v>
      </c>
    </row>
    <row r="149" spans="2:5" x14ac:dyDescent="0.25">
      <c r="B149" s="41" t="s">
        <v>210</v>
      </c>
      <c r="C149" s="24" t="s">
        <v>37</v>
      </c>
      <c r="D149" s="48">
        <f>Mining!D61*Mining!D77</f>
        <v>10204.102301790281</v>
      </c>
      <c r="E149" s="48">
        <f>Mining!E61*Mining!E77</f>
        <v>11119.336734693876</v>
      </c>
    </row>
    <row r="150" spans="2:5" x14ac:dyDescent="0.25">
      <c r="B150" s="41" t="s">
        <v>300</v>
      </c>
      <c r="C150" s="24" t="s">
        <v>37</v>
      </c>
      <c r="D150" s="48">
        <f>Gas!D73*Gas!D141</f>
        <v>1904.1567567567567</v>
      </c>
      <c r="E150" s="48">
        <f>Gas!E73*Gas!E141</f>
        <v>1647.2359249329759</v>
      </c>
    </row>
    <row r="151" spans="2:5" x14ac:dyDescent="0.25">
      <c r="B151" s="41" t="s">
        <v>232</v>
      </c>
      <c r="C151" s="24" t="s">
        <v>37</v>
      </c>
      <c r="D151" s="47">
        <f>D150/D94*D90</f>
        <v>816.0671814671814</v>
      </c>
      <c r="E151" s="47">
        <f>E150/E94*E90</f>
        <v>705.95825354270391</v>
      </c>
    </row>
    <row r="152" spans="2:5" x14ac:dyDescent="0.25">
      <c r="B152" s="9" t="s">
        <v>398</v>
      </c>
      <c r="C152" s="24" t="s">
        <v>37</v>
      </c>
      <c r="D152" s="48">
        <f>D145-D146</f>
        <v>5265.3181599857853</v>
      </c>
      <c r="E152" s="48">
        <f>E145-E146</f>
        <v>6991.641891830448</v>
      </c>
    </row>
    <row r="153" spans="2:5" x14ac:dyDescent="0.25">
      <c r="B153" s="9" t="s">
        <v>227</v>
      </c>
      <c r="C153" s="24" t="s">
        <v>40</v>
      </c>
      <c r="D153" s="32"/>
      <c r="E153" s="49">
        <f>E152/D152-1</f>
        <v>0.32786693593636951</v>
      </c>
    </row>
    <row r="154" spans="2:5" x14ac:dyDescent="0.25">
      <c r="B154" s="9"/>
      <c r="D154" s="32"/>
      <c r="E154" s="119"/>
    </row>
    <row r="155" spans="2:5" x14ac:dyDescent="0.25">
      <c r="B155" s="9" t="s">
        <v>399</v>
      </c>
      <c r="C155" s="24" t="s">
        <v>37</v>
      </c>
      <c r="D155" s="121">
        <f>D97</f>
        <v>14126</v>
      </c>
      <c r="E155" s="121">
        <f>E97</f>
        <v>14215</v>
      </c>
    </row>
    <row r="156" spans="2:5" x14ac:dyDescent="0.25">
      <c r="B156" s="9" t="s">
        <v>227</v>
      </c>
      <c r="C156" s="24" t="s">
        <v>40</v>
      </c>
      <c r="D156" s="32"/>
      <c r="E156" s="32">
        <f t="shared" ref="E156" si="18">E155/D155-1</f>
        <v>6.3004389069800659E-3</v>
      </c>
    </row>
    <row r="157" spans="2:5" x14ac:dyDescent="0.25">
      <c r="C157" s="44"/>
    </row>
    <row r="158" spans="2:5" x14ac:dyDescent="0.25">
      <c r="B158" s="1" t="s">
        <v>48</v>
      </c>
      <c r="C158" s="37" t="s">
        <v>228</v>
      </c>
    </row>
    <row r="159" spans="2:5" x14ac:dyDescent="0.25">
      <c r="B159" s="9" t="s">
        <v>194</v>
      </c>
      <c r="C159" s="171">
        <v>0.32</v>
      </c>
      <c r="D159" s="38"/>
      <c r="E159" s="38"/>
    </row>
    <row r="160" spans="2:5" x14ac:dyDescent="0.25">
      <c r="B160" s="9" t="s">
        <v>49</v>
      </c>
      <c r="C160" s="171">
        <v>0.28999999999999998</v>
      </c>
    </row>
    <row r="161" spans="2:5" x14ac:dyDescent="0.25">
      <c r="B161" s="9" t="s">
        <v>50</v>
      </c>
      <c r="C161" s="171">
        <v>0.22</v>
      </c>
    </row>
    <row r="162" spans="2:5" x14ac:dyDescent="0.25">
      <c r="B162" s="9" t="s">
        <v>51</v>
      </c>
      <c r="C162" s="171">
        <v>0.17</v>
      </c>
      <c r="D162" s="12"/>
      <c r="E162" s="12"/>
    </row>
    <row r="163" spans="2:5" x14ac:dyDescent="0.25">
      <c r="B163" s="1" t="s">
        <v>53</v>
      </c>
      <c r="C163" s="44">
        <f>SUM(C159:C162)</f>
        <v>1</v>
      </c>
      <c r="D163" s="59"/>
      <c r="E163" s="59"/>
    </row>
    <row r="164" spans="2:5" x14ac:dyDescent="0.25">
      <c r="C164" s="44"/>
      <c r="D164" s="12"/>
      <c r="E164" s="12"/>
    </row>
    <row r="165" spans="2:5" x14ac:dyDescent="0.25">
      <c r="B165" s="1" t="s">
        <v>199</v>
      </c>
      <c r="C165" s="24" t="s">
        <v>40</v>
      </c>
      <c r="D165" s="32"/>
      <c r="E165" s="32"/>
    </row>
    <row r="166" spans="2:5" x14ac:dyDescent="0.25">
      <c r="C166" s="44"/>
      <c r="D166" s="12"/>
      <c r="E166" s="12"/>
    </row>
    <row r="167" spans="2:5" x14ac:dyDescent="0.25">
      <c r="B167" s="1" t="s">
        <v>229</v>
      </c>
      <c r="C167" s="44"/>
      <c r="D167" s="12"/>
      <c r="E167" s="12"/>
    </row>
    <row r="168" spans="2:5" x14ac:dyDescent="0.25">
      <c r="B168" s="9" t="s">
        <v>230</v>
      </c>
      <c r="C168" s="73" t="s">
        <v>205</v>
      </c>
      <c r="D168" s="12">
        <f>D69</f>
        <v>1564</v>
      </c>
      <c r="E168" s="12">
        <f>E69</f>
        <v>1539</v>
      </c>
    </row>
    <row r="169" spans="2:5" x14ac:dyDescent="0.25">
      <c r="B169" s="9" t="s">
        <v>195</v>
      </c>
      <c r="C169" s="73" t="s">
        <v>205</v>
      </c>
      <c r="D169" s="17">
        <f>D168*D71</f>
        <v>828.92000000000007</v>
      </c>
      <c r="E169" s="17">
        <f>E168*E71</f>
        <v>800.28</v>
      </c>
    </row>
    <row r="170" spans="2:5" x14ac:dyDescent="0.25">
      <c r="B170" s="9" t="s">
        <v>196</v>
      </c>
      <c r="C170" s="73" t="s">
        <v>205</v>
      </c>
      <c r="D170" s="12">
        <f t="shared" ref="D170:E170" si="19">D168-D169</f>
        <v>735.07999999999993</v>
      </c>
      <c r="E170" s="12">
        <f t="shared" si="19"/>
        <v>738.72</v>
      </c>
    </row>
    <row r="171" spans="2:5" x14ac:dyDescent="0.25">
      <c r="B171" s="9"/>
      <c r="C171" s="73"/>
      <c r="D171" s="12"/>
      <c r="E171" s="12"/>
    </row>
    <row r="172" spans="2:5" x14ac:dyDescent="0.25">
      <c r="B172" s="9" t="s">
        <v>197</v>
      </c>
      <c r="C172" s="24" t="s">
        <v>40</v>
      </c>
      <c r="D172" s="32"/>
      <c r="E172" s="32">
        <f t="shared" ref="E172" si="20">E170/D170-1</f>
        <v>4.951841976383653E-3</v>
      </c>
    </row>
    <row r="173" spans="2:5" x14ac:dyDescent="0.25">
      <c r="B173" s="9"/>
      <c r="C173" s="73"/>
      <c r="D173" s="12"/>
      <c r="E173" s="12"/>
    </row>
    <row r="174" spans="2:5" x14ac:dyDescent="0.25">
      <c r="B174" s="2" t="s">
        <v>140</v>
      </c>
      <c r="D174" s="12"/>
      <c r="E174" s="12"/>
    </row>
    <row r="175" spans="2:5" x14ac:dyDescent="0.25">
      <c r="B175" s="1" t="s">
        <v>107</v>
      </c>
      <c r="C175" s="24" t="s">
        <v>37</v>
      </c>
      <c r="D175" s="52">
        <v>9977</v>
      </c>
      <c r="E175" s="52">
        <v>7279</v>
      </c>
    </row>
    <row r="176" spans="2:5" x14ac:dyDescent="0.25">
      <c r="B176" s="1" t="s">
        <v>108</v>
      </c>
      <c r="C176" s="24" t="s">
        <v>37</v>
      </c>
      <c r="D176" s="52">
        <v>-1420</v>
      </c>
      <c r="E176" s="52">
        <v>-1424</v>
      </c>
    </row>
    <row r="177" spans="2:5 16368:16368" x14ac:dyDescent="0.25">
      <c r="B177" s="16" t="s">
        <v>109</v>
      </c>
      <c r="C177" s="27" t="s">
        <v>37</v>
      </c>
      <c r="D177" s="53">
        <v>-5039</v>
      </c>
      <c r="E177" s="53">
        <v>-4707</v>
      </c>
    </row>
    <row r="178" spans="2:5 16368:16368" s="2" customFormat="1" x14ac:dyDescent="0.25">
      <c r="B178" s="2" t="s">
        <v>110</v>
      </c>
      <c r="C178" s="25" t="s">
        <v>37</v>
      </c>
      <c r="D178" s="18">
        <f>SUM(D175:D177)</f>
        <v>3518</v>
      </c>
      <c r="E178" s="18">
        <f t="shared" ref="E178" si="21">SUM(E175:E177)</f>
        <v>1148</v>
      </c>
    </row>
    <row r="179" spans="2:5 16368:16368" x14ac:dyDescent="0.25">
      <c r="B179" s="1" t="s">
        <v>111</v>
      </c>
      <c r="C179" s="24" t="s">
        <v>37</v>
      </c>
      <c r="D179" s="52">
        <v>33</v>
      </c>
      <c r="E179" s="52">
        <v>31</v>
      </c>
    </row>
    <row r="180" spans="2:5 16368:16368" x14ac:dyDescent="0.25">
      <c r="B180" s="16" t="s">
        <v>112</v>
      </c>
      <c r="C180" s="27" t="s">
        <v>37</v>
      </c>
      <c r="D180" s="53">
        <v>-3</v>
      </c>
      <c r="E180" s="53">
        <v>-84</v>
      </c>
    </row>
    <row r="181" spans="2:5 16368:16368" s="2" customFormat="1" x14ac:dyDescent="0.25">
      <c r="B181" s="2" t="s">
        <v>113</v>
      </c>
      <c r="C181" s="25" t="s">
        <v>37</v>
      </c>
      <c r="D181" s="18">
        <f>SUM(D178:D180)</f>
        <v>3548</v>
      </c>
      <c r="E181" s="18">
        <f t="shared" ref="E181" si="22">SUM(E178:E180)</f>
        <v>1095</v>
      </c>
    </row>
    <row r="182" spans="2:5 16368:16368" x14ac:dyDescent="0.25">
      <c r="B182" s="1" t="s">
        <v>114</v>
      </c>
      <c r="C182" s="24" t="s">
        <v>37</v>
      </c>
      <c r="D182" s="52">
        <v>-607</v>
      </c>
      <c r="E182" s="52">
        <v>-492</v>
      </c>
    </row>
    <row r="183" spans="2:5 16368:16368" s="2" customFormat="1" x14ac:dyDescent="0.25">
      <c r="B183" s="50" t="s">
        <v>115</v>
      </c>
      <c r="C183" s="51" t="s">
        <v>37</v>
      </c>
      <c r="D183" s="91">
        <f>SUM(D181:D182)</f>
        <v>2941</v>
      </c>
      <c r="E183" s="91">
        <f t="shared" ref="E183" si="23">SUM(E181:E182)</f>
        <v>603</v>
      </c>
    </row>
    <row r="184" spans="2:5 16368:16368" s="2" customFormat="1" ht="13.8" thickBot="1" x14ac:dyDescent="0.3">
      <c r="B184" s="19" t="s">
        <v>222</v>
      </c>
      <c r="C184" s="28" t="s">
        <v>37</v>
      </c>
      <c r="D184" s="20">
        <f>49%*D181+D182</f>
        <v>1131.52</v>
      </c>
      <c r="E184" s="147">
        <f>E183*49%+43</f>
        <v>338.46999999999997</v>
      </c>
    </row>
    <row r="185" spans="2:5 16368:16368" x14ac:dyDescent="0.25">
      <c r="D185" s="12"/>
      <c r="E185" s="12"/>
    </row>
    <row r="186" spans="2:5 16368:16368" x14ac:dyDescent="0.25">
      <c r="B186" s="1" t="s">
        <v>12</v>
      </c>
      <c r="C186" s="24" t="s">
        <v>37</v>
      </c>
      <c r="D186" s="52">
        <v>11964</v>
      </c>
      <c r="E186" s="52">
        <v>11964</v>
      </c>
    </row>
    <row r="187" spans="2:5 16368:16368" x14ac:dyDescent="0.25">
      <c r="B187" s="1" t="s">
        <v>137</v>
      </c>
      <c r="C187" s="24" t="s">
        <v>37</v>
      </c>
    </row>
    <row r="189" spans="2:5 16368:16368" x14ac:dyDescent="0.25">
      <c r="B189" s="1" t="s">
        <v>246</v>
      </c>
      <c r="C189" s="24" t="s">
        <v>40</v>
      </c>
      <c r="D189" s="49">
        <f>-D182/(D181*49%)</f>
        <v>0.34914755079032739</v>
      </c>
      <c r="E189" s="49">
        <f>-E182/E181</f>
        <v>0.44931506849315067</v>
      </c>
      <c r="XEN189" s="49"/>
    </row>
    <row r="190" spans="2:5 16368:16368" x14ac:dyDescent="0.25">
      <c r="B190" s="9"/>
      <c r="D190" s="30"/>
      <c r="E190" s="30"/>
    </row>
    <row r="191" spans="2:5 16368:16368" x14ac:dyDescent="0.25">
      <c r="B191" s="43" t="s">
        <v>116</v>
      </c>
      <c r="D191" s="5" t="s">
        <v>234</v>
      </c>
      <c r="E191" s="5" t="s">
        <v>235</v>
      </c>
    </row>
    <row r="192" spans="2:5 16368:16368" x14ac:dyDescent="0.25">
      <c r="B192" s="9" t="s">
        <v>122</v>
      </c>
      <c r="C192" s="24" t="s">
        <v>120</v>
      </c>
      <c r="D192" s="60">
        <v>32400</v>
      </c>
      <c r="E192" s="60">
        <v>32400</v>
      </c>
    </row>
    <row r="193" spans="2:5" x14ac:dyDescent="0.25">
      <c r="B193" s="9" t="s">
        <v>122</v>
      </c>
      <c r="C193" s="24" t="s">
        <v>121</v>
      </c>
      <c r="D193" s="54">
        <f>D192*365/1000000</f>
        <v>11.826000000000001</v>
      </c>
      <c r="E193" s="54">
        <f t="shared" ref="E193" si="24">E192*365/1000000</f>
        <v>11.826000000000001</v>
      </c>
    </row>
    <row r="194" spans="2:5" x14ac:dyDescent="0.25">
      <c r="B194" s="9" t="s">
        <v>123</v>
      </c>
      <c r="C194" s="24" t="s">
        <v>121</v>
      </c>
      <c r="D194" s="54">
        <f>D193*49%</f>
        <v>5.79474</v>
      </c>
      <c r="E194" s="54">
        <f t="shared" ref="E194" si="25">E193*49%</f>
        <v>5.79474</v>
      </c>
    </row>
    <row r="195" spans="2:5" x14ac:dyDescent="0.25">
      <c r="B195" s="9" t="s">
        <v>124</v>
      </c>
      <c r="C195" s="24" t="s">
        <v>40</v>
      </c>
      <c r="D195" s="55">
        <f>D79/D194</f>
        <v>0.80590328470302375</v>
      </c>
      <c r="E195" s="55">
        <f>E79/E194</f>
        <v>0.57120768144903833</v>
      </c>
    </row>
    <row r="196" spans="2:5" x14ac:dyDescent="0.25">
      <c r="B196" s="9"/>
      <c r="D196" s="55"/>
      <c r="E196" s="55"/>
    </row>
    <row r="197" spans="2:5" x14ac:dyDescent="0.25">
      <c r="B197" s="9" t="s">
        <v>125</v>
      </c>
      <c r="C197" s="24" t="s">
        <v>40</v>
      </c>
      <c r="D197" s="56">
        <f>SUM(D198:D200)</f>
        <v>1</v>
      </c>
      <c r="E197" s="56">
        <f t="shared" ref="E197" si="26">SUM(E198:E200)</f>
        <v>1</v>
      </c>
    </row>
    <row r="198" spans="2:5" x14ac:dyDescent="0.25">
      <c r="B198" s="9" t="s">
        <v>117</v>
      </c>
      <c r="C198" s="24" t="s">
        <v>40</v>
      </c>
      <c r="D198" s="40">
        <v>0.67</v>
      </c>
      <c r="E198" s="40">
        <v>0.67</v>
      </c>
    </row>
    <row r="199" spans="2:5" x14ac:dyDescent="0.25">
      <c r="B199" s="9" t="s">
        <v>118</v>
      </c>
      <c r="C199" s="24" t="s">
        <v>40</v>
      </c>
      <c r="D199" s="40">
        <v>0.31</v>
      </c>
      <c r="E199" s="40">
        <v>0.31</v>
      </c>
    </row>
    <row r="200" spans="2:5" x14ac:dyDescent="0.25">
      <c r="B200" s="9" t="s">
        <v>119</v>
      </c>
      <c r="C200" s="24" t="s">
        <v>40</v>
      </c>
      <c r="D200" s="102">
        <v>0.02</v>
      </c>
      <c r="E200" s="102">
        <v>0.02</v>
      </c>
    </row>
    <row r="201" spans="2:5" x14ac:dyDescent="0.25">
      <c r="B201" s="9"/>
      <c r="D201" s="55"/>
      <c r="E201" s="55"/>
    </row>
    <row r="202" spans="2:5" x14ac:dyDescent="0.25">
      <c r="B202" s="9" t="s">
        <v>126</v>
      </c>
      <c r="C202" s="24" t="s">
        <v>121</v>
      </c>
      <c r="D202" s="57">
        <f>SUM(D203:D205)</f>
        <v>4.67</v>
      </c>
      <c r="E202" s="57">
        <f t="shared" ref="E202" si="27">SUM(E203:E205)</f>
        <v>3.31</v>
      </c>
    </row>
    <row r="203" spans="2:5" x14ac:dyDescent="0.25">
      <c r="B203" s="9" t="s">
        <v>117</v>
      </c>
      <c r="C203" s="24" t="s">
        <v>121</v>
      </c>
      <c r="D203" s="54">
        <f>D79*D198</f>
        <v>3.1289000000000002</v>
      </c>
      <c r="E203" s="54">
        <f>E79*E198</f>
        <v>2.2177000000000002</v>
      </c>
    </row>
    <row r="204" spans="2:5" x14ac:dyDescent="0.25">
      <c r="B204" s="9" t="s">
        <v>118</v>
      </c>
      <c r="C204" s="24" t="s">
        <v>121</v>
      </c>
      <c r="D204" s="54">
        <f>D79*D199</f>
        <v>1.4477</v>
      </c>
      <c r="E204" s="54">
        <f>E79*E199</f>
        <v>1.0261</v>
      </c>
    </row>
    <row r="205" spans="2:5" x14ac:dyDescent="0.25">
      <c r="B205" s="9" t="s">
        <v>119</v>
      </c>
      <c r="C205" s="24" t="s">
        <v>121</v>
      </c>
      <c r="D205" s="57">
        <f>D79*D200</f>
        <v>9.3399999999999997E-2</v>
      </c>
      <c r="E205" s="57">
        <f>E79*E200</f>
        <v>6.6200000000000009E-2</v>
      </c>
    </row>
    <row r="206" spans="2:5" x14ac:dyDescent="0.25">
      <c r="B206" s="9"/>
      <c r="D206" s="59"/>
      <c r="E206" s="59"/>
    </row>
    <row r="207" spans="2:5" x14ac:dyDescent="0.25">
      <c r="B207" s="9" t="s">
        <v>117</v>
      </c>
      <c r="C207" s="24" t="s">
        <v>37</v>
      </c>
      <c r="D207" s="12">
        <f>D203*D51*SUM(D52,D58,D59)</f>
        <v>3649.0671093999999</v>
      </c>
      <c r="E207" s="12">
        <f>E203*E51*SUM(E52,E58,E59)</f>
        <v>2304.17211486</v>
      </c>
    </row>
    <row r="208" spans="2:5" x14ac:dyDescent="0.25">
      <c r="B208" s="9" t="s">
        <v>118</v>
      </c>
      <c r="C208" s="24" t="s">
        <v>37</v>
      </c>
      <c r="D208" s="12">
        <f>D204*D51*SUM(D52,D58,D60)</f>
        <v>1310.4995889899999</v>
      </c>
      <c r="E208" s="12">
        <f>E204*E51*SUM(E52,E58,E60)</f>
        <v>824.61685098000009</v>
      </c>
    </row>
    <row r="209" spans="2:5" x14ac:dyDescent="0.25">
      <c r="B209" s="9" t="s">
        <v>119</v>
      </c>
      <c r="C209" s="24" t="s">
        <v>37</v>
      </c>
      <c r="D209" s="17">
        <f>D205*D51*SUM(D52,D58,D61)</f>
        <v>66.609097299999988</v>
      </c>
      <c r="E209" s="17">
        <f>E205*E51*SUM(E52,E58,E61)</f>
        <v>39.900815370000011</v>
      </c>
    </row>
    <row r="210" spans="2:5" x14ac:dyDescent="0.25">
      <c r="B210" s="9" t="s">
        <v>131</v>
      </c>
      <c r="C210" s="24" t="s">
        <v>37</v>
      </c>
      <c r="D210" s="30">
        <f>SUM(D207:D209)</f>
        <v>5026.1757956900001</v>
      </c>
      <c r="E210" s="30">
        <f t="shared" ref="E210" si="28">SUM(E207:E209)</f>
        <v>3168.6897812100001</v>
      </c>
    </row>
    <row r="211" spans="2:5" x14ac:dyDescent="0.25">
      <c r="B211" s="9"/>
      <c r="D211" s="12"/>
      <c r="E211" s="12"/>
    </row>
    <row r="212" spans="2:5" x14ac:dyDescent="0.25">
      <c r="B212" s="9" t="s">
        <v>133</v>
      </c>
      <c r="C212" s="24" t="s">
        <v>37</v>
      </c>
      <c r="D212" s="12">
        <f>D210/49%</f>
        <v>10257.501623857142</v>
      </c>
      <c r="E212" s="12">
        <f>E210/49%</f>
        <v>6466.7138392040815</v>
      </c>
    </row>
    <row r="213" spans="2:5" x14ac:dyDescent="0.25">
      <c r="B213" s="9" t="s">
        <v>132</v>
      </c>
      <c r="C213" s="24" t="s">
        <v>37</v>
      </c>
      <c r="D213" s="31">
        <f>D175</f>
        <v>9977</v>
      </c>
      <c r="E213" s="31">
        <f t="shared" ref="E213" si="29">E175</f>
        <v>7279</v>
      </c>
    </row>
    <row r="214" spans="2:5" x14ac:dyDescent="0.25">
      <c r="B214" s="9" t="s">
        <v>42</v>
      </c>
      <c r="C214" s="24" t="s">
        <v>40</v>
      </c>
      <c r="D214" s="32">
        <f>D213/D212-1</f>
        <v>-2.7345998484147982E-2</v>
      </c>
      <c r="E214" s="49">
        <f t="shared" ref="E214" si="30">E213/E212-1</f>
        <v>0.12561034568616303</v>
      </c>
    </row>
    <row r="216" spans="2:5" x14ac:dyDescent="0.25">
      <c r="B216" s="1" t="s">
        <v>10</v>
      </c>
      <c r="C216" s="24" t="s">
        <v>37</v>
      </c>
      <c r="D216" s="31">
        <f>D178-D176</f>
        <v>4938</v>
      </c>
      <c r="E216" s="31">
        <f t="shared" ref="E216" si="31">E178-E176</f>
        <v>2572</v>
      </c>
    </row>
    <row r="218" spans="2:5" x14ac:dyDescent="0.25">
      <c r="B218" s="9" t="s">
        <v>138</v>
      </c>
      <c r="C218" s="24" t="s">
        <v>37</v>
      </c>
      <c r="D218" s="31">
        <f>D175-D216</f>
        <v>5039</v>
      </c>
      <c r="E218" s="31">
        <f t="shared" ref="E218" si="32">E175-E216</f>
        <v>4707</v>
      </c>
    </row>
    <row r="219" spans="2:5" x14ac:dyDescent="0.25">
      <c r="B219" s="9" t="s">
        <v>206</v>
      </c>
      <c r="C219" s="24" t="s">
        <v>102</v>
      </c>
      <c r="D219" s="31">
        <f>D218/D79*49%</f>
        <v>528.71734475374728</v>
      </c>
      <c r="E219" s="31">
        <f>E218/E79*49%</f>
        <v>696.80664652567975</v>
      </c>
    </row>
    <row r="220" spans="2:5" x14ac:dyDescent="0.25">
      <c r="B220" s="9" t="s">
        <v>206</v>
      </c>
      <c r="C220" s="24" t="s">
        <v>24</v>
      </c>
      <c r="D220" s="31">
        <f>D219/D51</f>
        <v>37.233615827728684</v>
      </c>
      <c r="E220" s="31">
        <f>E219/E51</f>
        <v>44.410876132930518</v>
      </c>
    </row>
    <row r="221" spans="2:5" x14ac:dyDescent="0.25">
      <c r="B221" s="9" t="s">
        <v>46</v>
      </c>
      <c r="C221" s="24" t="s">
        <v>40</v>
      </c>
    </row>
    <row r="222" spans="2:5" x14ac:dyDescent="0.25">
      <c r="B222" s="9"/>
      <c r="D222" s="31"/>
      <c r="E222" s="31"/>
    </row>
    <row r="223" spans="2:5" x14ac:dyDescent="0.25">
      <c r="B223" s="1" t="s">
        <v>48</v>
      </c>
      <c r="C223" s="37" t="s">
        <v>57</v>
      </c>
    </row>
    <row r="224" spans="2:5" x14ac:dyDescent="0.25">
      <c r="B224" s="9" t="s">
        <v>212</v>
      </c>
      <c r="C224" s="82"/>
      <c r="D224" s="38"/>
      <c r="E224" s="38"/>
    </row>
    <row r="225" spans="2:5" x14ac:dyDescent="0.25">
      <c r="B225" s="9" t="s">
        <v>49</v>
      </c>
      <c r="C225" s="82"/>
    </row>
    <row r="226" spans="2:5" x14ac:dyDescent="0.25">
      <c r="B226" s="9" t="s">
        <v>50</v>
      </c>
      <c r="C226" s="82"/>
    </row>
    <row r="227" spans="2:5" x14ac:dyDescent="0.25">
      <c r="B227" s="9" t="s">
        <v>51</v>
      </c>
      <c r="C227" s="82"/>
    </row>
    <row r="228" spans="2:5" x14ac:dyDescent="0.25">
      <c r="B228" s="1" t="s">
        <v>53</v>
      </c>
      <c r="C228" s="44">
        <f>SUM(C224:C227)</f>
        <v>0</v>
      </c>
    </row>
    <row r="230" spans="2:5" x14ac:dyDescent="0.25">
      <c r="B230" s="9" t="s">
        <v>207</v>
      </c>
      <c r="C230" s="24" t="s">
        <v>40</v>
      </c>
      <c r="D230" s="32">
        <f>D189</f>
        <v>0.34914755079032739</v>
      </c>
      <c r="E230" s="32">
        <f t="shared" ref="E230" si="33">E189</f>
        <v>0.44931506849315067</v>
      </c>
    </row>
    <row r="231" spans="2:5" x14ac:dyDescent="0.25">
      <c r="B231" s="9"/>
      <c r="C231" s="73"/>
      <c r="D231" s="12"/>
      <c r="E231" s="12"/>
    </row>
    <row r="232" spans="2:5" x14ac:dyDescent="0.25">
      <c r="B232" s="9" t="s">
        <v>55</v>
      </c>
      <c r="C232" s="24" t="s">
        <v>40</v>
      </c>
      <c r="D232" s="32">
        <f>D33/D7</f>
        <v>0.22555453805453807</v>
      </c>
      <c r="E232" s="32">
        <f>E33/E7</f>
        <v>0.25808514379805925</v>
      </c>
    </row>
    <row r="233" spans="2:5" x14ac:dyDescent="0.25">
      <c r="B233" s="9"/>
    </row>
    <row r="234" spans="2:5" x14ac:dyDescent="0.25">
      <c r="B234" s="9" t="s">
        <v>56</v>
      </c>
      <c r="C234" s="24" t="s">
        <v>40</v>
      </c>
      <c r="D234" s="32">
        <f>D36/D7</f>
        <v>0.14791921041921041</v>
      </c>
      <c r="E234" s="32">
        <f>E36/E7</f>
        <v>0.20608124310584625</v>
      </c>
    </row>
    <row r="236" spans="2:5" x14ac:dyDescent="0.25">
      <c r="B236" s="9" t="s">
        <v>52</v>
      </c>
      <c r="C236" s="24" t="s">
        <v>40</v>
      </c>
      <c r="D236" s="32">
        <f>D40/D7</f>
        <v>9.4309625559625562E-2</v>
      </c>
      <c r="E236" s="32">
        <f>E40/E7</f>
        <v>8.3641072370629704E-2</v>
      </c>
    </row>
    <row r="238" spans="2:5" x14ac:dyDescent="0.25">
      <c r="B238" s="9" t="s">
        <v>187</v>
      </c>
    </row>
    <row r="239" spans="2:5" x14ac:dyDescent="0.25">
      <c r="B239" s="9" t="s">
        <v>190</v>
      </c>
      <c r="C239" s="24" t="s">
        <v>40</v>
      </c>
      <c r="D239" s="32">
        <f>D243/D246</f>
        <v>0.17125314553334267</v>
      </c>
      <c r="E239" s="32">
        <f t="shared" ref="E239" si="34">E243/E246</f>
        <v>-0.20142693059628541</v>
      </c>
    </row>
    <row r="240" spans="2:5" x14ac:dyDescent="0.25">
      <c r="B240" s="9"/>
    </row>
    <row r="241" spans="2:5" x14ac:dyDescent="0.25">
      <c r="B241" s="1" t="s">
        <v>191</v>
      </c>
      <c r="C241" s="24" t="s">
        <v>37</v>
      </c>
      <c r="D241" s="31">
        <f>D18</f>
        <v>10769</v>
      </c>
      <c r="E241" s="31">
        <f>E18</f>
        <v>-11609</v>
      </c>
    </row>
    <row r="242" spans="2:5" x14ac:dyDescent="0.25">
      <c r="B242" s="1" t="s">
        <v>177</v>
      </c>
      <c r="C242" s="24" t="s">
        <v>40</v>
      </c>
      <c r="D242" s="38">
        <f>D99</f>
        <v>0.09</v>
      </c>
      <c r="E242" s="38">
        <f>E99</f>
        <v>0.28999999999999998</v>
      </c>
    </row>
    <row r="243" spans="2:5" x14ac:dyDescent="0.25">
      <c r="B243" s="1" t="s">
        <v>186</v>
      </c>
      <c r="C243" s="24" t="s">
        <v>37</v>
      </c>
      <c r="D243" s="31">
        <f t="shared" ref="D243:E243" si="35">D241*(1-D242)</f>
        <v>9799.7900000000009</v>
      </c>
      <c r="E243" s="31">
        <f t="shared" si="35"/>
        <v>-8242.39</v>
      </c>
    </row>
    <row r="244" spans="2:5" x14ac:dyDescent="0.25">
      <c r="D244" s="31"/>
      <c r="E244" s="31"/>
    </row>
    <row r="245" spans="2:5" x14ac:dyDescent="0.25">
      <c r="B245" s="1" t="s">
        <v>188</v>
      </c>
      <c r="C245" s="24" t="s">
        <v>37</v>
      </c>
      <c r="D245" s="31">
        <f>D34-D37</f>
        <v>57224</v>
      </c>
      <c r="E245" s="31">
        <f>E34-E37</f>
        <v>40920</v>
      </c>
    </row>
    <row r="246" spans="2:5" x14ac:dyDescent="0.25">
      <c r="B246" s="1" t="s">
        <v>189</v>
      </c>
      <c r="C246" s="24" t="s">
        <v>37</v>
      </c>
      <c r="D246" s="31">
        <f>D245</f>
        <v>57224</v>
      </c>
      <c r="E246" s="31">
        <f t="shared" ref="E246" si="36">E245</f>
        <v>40920</v>
      </c>
    </row>
    <row r="247" spans="2:5" x14ac:dyDescent="0.25">
      <c r="B247" s="9"/>
    </row>
  </sheetData>
  <pageMargins left="0.7" right="0.7" top="0.75" bottom="0.75" header="0.3" footer="0.3"/>
  <pageSetup paperSize="9" scale="32"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B1:F106"/>
  <sheetViews>
    <sheetView view="pageBreakPreview" zoomScale="80" zoomScaleNormal="80" zoomScaleSheetLayoutView="80" workbookViewId="0">
      <pane xSplit="3" ySplit="4" topLeftCell="D18" activePane="bottomRight" state="frozen"/>
      <selection activeCell="F103" sqref="F103"/>
      <selection pane="topRight" activeCell="F103" sqref="F103"/>
      <selection pane="bottomLeft" activeCell="F103" sqref="F103"/>
      <selection pane="bottomRight" activeCell="E25" sqref="E25"/>
    </sheetView>
  </sheetViews>
  <sheetFormatPr defaultColWidth="9.21875" defaultRowHeight="13.2" x14ac:dyDescent="0.25"/>
  <cols>
    <col min="1" max="1" width="1.44140625" style="1" customWidth="1"/>
    <col min="2" max="2" width="71.21875" style="1" customWidth="1"/>
    <col min="3" max="3" width="17.5546875" style="24" customWidth="1"/>
    <col min="4" max="5" width="13" style="1" customWidth="1"/>
    <col min="6" max="16384" width="9.21875" style="1"/>
  </cols>
  <sheetData>
    <row r="1" spans="2:5" ht="17.399999999999999" x14ac:dyDescent="0.3">
      <c r="B1" s="3" t="str">
        <f>Assumptions!B1</f>
        <v>Sasol Limited</v>
      </c>
      <c r="C1" s="21"/>
    </row>
    <row r="2" spans="2:5" ht="15.6" x14ac:dyDescent="0.3">
      <c r="B2" s="4" t="str">
        <f>Assumptions!B2</f>
        <v>Model</v>
      </c>
      <c r="C2" s="22"/>
    </row>
    <row r="4" spans="2:5" x14ac:dyDescent="0.25">
      <c r="B4" s="2" t="s">
        <v>318</v>
      </c>
      <c r="C4" s="23" t="s">
        <v>2</v>
      </c>
      <c r="D4" s="5" t="s">
        <v>234</v>
      </c>
      <c r="E4" s="5" t="s">
        <v>235</v>
      </c>
    </row>
    <row r="5" spans="2:5" x14ac:dyDescent="0.25">
      <c r="B5" s="2"/>
      <c r="C5" s="23"/>
      <c r="D5" s="5"/>
      <c r="E5" s="5"/>
    </row>
    <row r="6" spans="2:5" x14ac:dyDescent="0.25">
      <c r="B6" s="39" t="s">
        <v>54</v>
      </c>
      <c r="D6" s="12"/>
      <c r="E6" s="12"/>
    </row>
    <row r="7" spans="2:5" x14ac:dyDescent="0.25">
      <c r="D7" s="12"/>
      <c r="E7" s="12"/>
    </row>
    <row r="8" spans="2:5" x14ac:dyDescent="0.25">
      <c r="B8" s="2" t="s">
        <v>1</v>
      </c>
      <c r="D8" s="12"/>
      <c r="E8" s="12"/>
    </row>
    <row r="9" spans="2:5" x14ac:dyDescent="0.25">
      <c r="B9" s="1" t="str">
        <f>Assumptions!B7</f>
        <v>R/US$ exchange rate - avg</v>
      </c>
      <c r="C9" s="24" t="str">
        <f>Assumptions!C7</f>
        <v>R:1US$</v>
      </c>
      <c r="D9" s="35">
        <f>Assumptions!E7</f>
        <v>14.2</v>
      </c>
      <c r="E9" s="35">
        <f>Assumptions!F7</f>
        <v>15.69</v>
      </c>
    </row>
    <row r="10" spans="2:5" x14ac:dyDescent="0.25">
      <c r="D10" s="10"/>
      <c r="E10" s="10"/>
    </row>
    <row r="11" spans="2:5" s="2" customFormat="1" x14ac:dyDescent="0.25">
      <c r="B11" s="2" t="s">
        <v>414</v>
      </c>
      <c r="C11" s="141"/>
      <c r="D11" s="45"/>
      <c r="E11" s="45"/>
    </row>
    <row r="12" spans="2:5" x14ac:dyDescent="0.25">
      <c r="B12" s="43" t="s">
        <v>58</v>
      </c>
    </row>
    <row r="13" spans="2:5" x14ac:dyDescent="0.25">
      <c r="B13" s="9" t="s">
        <v>261</v>
      </c>
      <c r="C13" s="29" t="s">
        <v>208</v>
      </c>
      <c r="D13" s="164">
        <v>518</v>
      </c>
      <c r="E13" s="164">
        <v>459.49686262902628</v>
      </c>
    </row>
    <row r="14" spans="2:5" x14ac:dyDescent="0.25">
      <c r="B14" s="9" t="s">
        <v>306</v>
      </c>
      <c r="C14" s="29" t="s">
        <v>208</v>
      </c>
      <c r="D14" s="164">
        <v>2471</v>
      </c>
      <c r="E14" s="164">
        <v>2581.6342382422445</v>
      </c>
    </row>
    <row r="15" spans="2:5" x14ac:dyDescent="0.25">
      <c r="B15" s="9" t="s">
        <v>307</v>
      </c>
      <c r="C15" s="29" t="s">
        <v>208</v>
      </c>
      <c r="D15" s="164">
        <v>2931</v>
      </c>
      <c r="E15" s="164">
        <v>2564.887364965507</v>
      </c>
    </row>
    <row r="16" spans="2:5" x14ac:dyDescent="0.25">
      <c r="B16" s="9" t="s">
        <v>308</v>
      </c>
      <c r="C16" s="29" t="s">
        <v>208</v>
      </c>
      <c r="D16" s="164">
        <v>2181</v>
      </c>
      <c r="E16" s="164">
        <v>2033.8380068945742</v>
      </c>
    </row>
    <row r="17" spans="2:5" x14ac:dyDescent="0.25">
      <c r="B17" s="1" t="s">
        <v>170</v>
      </c>
      <c r="C17" s="29" t="s">
        <v>208</v>
      </c>
      <c r="D17" s="12">
        <f t="shared" ref="D17:E17" si="0">SUM(D13:D16)</f>
        <v>8101</v>
      </c>
      <c r="E17" s="12">
        <f t="shared" si="0"/>
        <v>7639.8564727313524</v>
      </c>
    </row>
    <row r="18" spans="2:5" x14ac:dyDescent="0.25">
      <c r="C18" s="29"/>
      <c r="D18" s="12"/>
      <c r="E18" s="12"/>
    </row>
    <row r="19" spans="2:5" x14ac:dyDescent="0.25">
      <c r="B19" s="2" t="s">
        <v>323</v>
      </c>
      <c r="C19" s="29"/>
      <c r="D19" s="12"/>
      <c r="E19" s="12"/>
    </row>
    <row r="20" spans="2:5" x14ac:dyDescent="0.25">
      <c r="B20" s="1" t="s">
        <v>170</v>
      </c>
      <c r="C20" s="29"/>
      <c r="D20" s="92">
        <v>6499</v>
      </c>
      <c r="E20" s="92">
        <v>7464.9234124259719</v>
      </c>
    </row>
    <row r="21" spans="2:5" x14ac:dyDescent="0.25">
      <c r="B21" s="148" t="s">
        <v>261</v>
      </c>
      <c r="C21" s="149" t="s">
        <v>141</v>
      </c>
      <c r="D21" s="150">
        <v>176</v>
      </c>
      <c r="E21" s="150">
        <v>191</v>
      </c>
    </row>
    <row r="22" spans="2:5" x14ac:dyDescent="0.25">
      <c r="B22" s="148" t="s">
        <v>306</v>
      </c>
      <c r="C22" s="149" t="s">
        <v>141</v>
      </c>
      <c r="D22" s="150">
        <v>2980</v>
      </c>
      <c r="E22" s="150">
        <v>3962</v>
      </c>
    </row>
    <row r="23" spans="2:5" x14ac:dyDescent="0.25">
      <c r="B23" s="9" t="s">
        <v>324</v>
      </c>
      <c r="C23" s="29" t="s">
        <v>141</v>
      </c>
      <c r="D23" s="92">
        <v>1752</v>
      </c>
      <c r="E23" s="92">
        <v>2568</v>
      </c>
    </row>
    <row r="24" spans="2:5" x14ac:dyDescent="0.25">
      <c r="B24" s="9" t="s">
        <v>325</v>
      </c>
      <c r="C24" s="29" t="s">
        <v>141</v>
      </c>
      <c r="D24" s="92">
        <v>612</v>
      </c>
      <c r="E24" s="92">
        <v>544.38739399999997</v>
      </c>
    </row>
    <row r="25" spans="2:5" x14ac:dyDescent="0.25">
      <c r="B25" s="9" t="s">
        <v>326</v>
      </c>
      <c r="C25" s="29" t="s">
        <v>141</v>
      </c>
      <c r="D25" s="92">
        <v>616</v>
      </c>
      <c r="E25" s="92">
        <v>850</v>
      </c>
    </row>
    <row r="26" spans="2:5" x14ac:dyDescent="0.25">
      <c r="B26" s="148" t="s">
        <v>307</v>
      </c>
      <c r="C26" s="149" t="s">
        <v>141</v>
      </c>
      <c r="D26" s="150">
        <v>1540</v>
      </c>
      <c r="E26" s="150">
        <v>1508</v>
      </c>
    </row>
    <row r="27" spans="2:5" x14ac:dyDescent="0.25">
      <c r="B27" s="148" t="s">
        <v>308</v>
      </c>
      <c r="C27" s="149" t="s">
        <v>141</v>
      </c>
      <c r="D27" s="150">
        <v>1803.1332150000001</v>
      </c>
      <c r="E27" s="150">
        <v>1804.1055139999999</v>
      </c>
    </row>
    <row r="28" spans="2:5" x14ac:dyDescent="0.25">
      <c r="B28" s="9" t="s">
        <v>327</v>
      </c>
      <c r="C28" s="29" t="s">
        <v>141</v>
      </c>
      <c r="D28" s="92">
        <v>941</v>
      </c>
      <c r="E28" s="92">
        <v>949.20443899999987</v>
      </c>
    </row>
    <row r="29" spans="2:5" x14ac:dyDescent="0.25">
      <c r="B29" s="9" t="s">
        <v>328</v>
      </c>
      <c r="C29" s="29" t="s">
        <v>141</v>
      </c>
      <c r="D29" s="92">
        <v>456</v>
      </c>
      <c r="E29" s="92">
        <v>451.96956500000005</v>
      </c>
    </row>
    <row r="30" spans="2:5" x14ac:dyDescent="0.25">
      <c r="B30" s="9" t="s">
        <v>329</v>
      </c>
      <c r="C30" s="29" t="s">
        <v>141</v>
      </c>
      <c r="D30" s="92">
        <v>406</v>
      </c>
      <c r="E30" s="92">
        <v>402.93151</v>
      </c>
    </row>
    <row r="31" spans="2:5" x14ac:dyDescent="0.25">
      <c r="C31" s="29"/>
      <c r="D31" s="12"/>
      <c r="E31" s="12"/>
    </row>
    <row r="32" spans="2:5" x14ac:dyDescent="0.25">
      <c r="B32" s="1" t="s">
        <v>319</v>
      </c>
      <c r="C32" s="29"/>
      <c r="D32" s="12"/>
      <c r="E32" s="12"/>
    </row>
    <row r="33" spans="2:5" x14ac:dyDescent="0.25">
      <c r="B33" s="1" t="s">
        <v>320</v>
      </c>
      <c r="C33" s="29"/>
      <c r="D33" s="12"/>
      <c r="E33" s="12"/>
    </row>
    <row r="34" spans="2:5" x14ac:dyDescent="0.25">
      <c r="B34" s="1" t="s">
        <v>321</v>
      </c>
      <c r="C34" s="29"/>
      <c r="D34" s="12"/>
      <c r="E34" s="12"/>
    </row>
    <row r="35" spans="2:5" x14ac:dyDescent="0.25">
      <c r="B35" s="1" t="s">
        <v>322</v>
      </c>
      <c r="C35" s="29"/>
      <c r="D35" s="12"/>
      <c r="E35" s="12"/>
    </row>
    <row r="36" spans="2:5" x14ac:dyDescent="0.25">
      <c r="C36" s="29"/>
      <c r="D36" s="12"/>
      <c r="E36" s="12"/>
    </row>
    <row r="37" spans="2:5" x14ac:dyDescent="0.25">
      <c r="B37" s="2" t="s">
        <v>415</v>
      </c>
      <c r="C37" s="29"/>
      <c r="D37" s="12"/>
      <c r="E37" s="12"/>
    </row>
    <row r="38" spans="2:5" x14ac:dyDescent="0.25">
      <c r="B38" s="9" t="s">
        <v>261</v>
      </c>
      <c r="C38" s="29" t="s">
        <v>33</v>
      </c>
      <c r="D38" s="12">
        <f>D13/D21*1000</f>
        <v>2943.1818181818185</v>
      </c>
      <c r="E38" s="12">
        <f>E13/E21*1000</f>
        <v>2405.7427362776248</v>
      </c>
    </row>
    <row r="39" spans="2:5" x14ac:dyDescent="0.25">
      <c r="B39" s="9" t="s">
        <v>306</v>
      </c>
      <c r="C39" s="29" t="s">
        <v>33</v>
      </c>
      <c r="D39" s="12">
        <f>D14/D22*1000</f>
        <v>829.19463087248323</v>
      </c>
      <c r="E39" s="12">
        <f>E14/E22*1000</f>
        <v>651.59874766336316</v>
      </c>
    </row>
    <row r="40" spans="2:5" x14ac:dyDescent="0.25">
      <c r="B40" s="9" t="s">
        <v>307</v>
      </c>
      <c r="C40" s="29" t="s">
        <v>33</v>
      </c>
      <c r="D40" s="12">
        <f>D15/D26*1000</f>
        <v>1903.2467532467531</v>
      </c>
      <c r="E40" s="12">
        <f>E15/E26*1000</f>
        <v>1700.853690295429</v>
      </c>
    </row>
    <row r="41" spans="2:5" x14ac:dyDescent="0.25">
      <c r="B41" s="9" t="s">
        <v>308</v>
      </c>
      <c r="C41" s="29" t="s">
        <v>33</v>
      </c>
      <c r="D41" s="12">
        <f>D16/D27*1000</f>
        <v>1209.5612137010078</v>
      </c>
      <c r="E41" s="12">
        <f>E16/E27*1000</f>
        <v>1127.3387233240142</v>
      </c>
    </row>
    <row r="42" spans="2:5" x14ac:dyDescent="0.25">
      <c r="B42" s="1" t="s">
        <v>170</v>
      </c>
      <c r="C42" s="29" t="s">
        <v>33</v>
      </c>
      <c r="D42" s="12">
        <f>D17/D20*1000</f>
        <v>1246.4994614556085</v>
      </c>
      <c r="E42" s="12">
        <f>E17/E20*1000</f>
        <v>1023.4340060360419</v>
      </c>
    </row>
    <row r="85" spans="6:6" x14ac:dyDescent="0.25">
      <c r="F85" s="42"/>
    </row>
    <row r="86" spans="6:6" x14ac:dyDescent="0.25">
      <c r="F86" s="42"/>
    </row>
    <row r="105" spans="6:6" x14ac:dyDescent="0.25">
      <c r="F105" s="42"/>
    </row>
    <row r="106" spans="6:6" x14ac:dyDescent="0.25">
      <c r="F106" s="42"/>
    </row>
  </sheetData>
  <pageMargins left="0.7" right="0.7" top="0.75" bottom="0.75" header="0.3" footer="0.3"/>
  <pageSetup paperSize="9" scale="2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Disclaimer</vt:lpstr>
      <vt:lpstr>Legend</vt:lpstr>
      <vt:lpstr>Assumptions</vt:lpstr>
      <vt:lpstr>Depr</vt:lpstr>
      <vt:lpstr>Financials</vt:lpstr>
      <vt:lpstr>Mining</vt:lpstr>
      <vt:lpstr>Gas</vt:lpstr>
      <vt:lpstr>Fuels</vt:lpstr>
      <vt:lpstr>Chem</vt:lpstr>
      <vt:lpstr>Chemicals Africa</vt:lpstr>
      <vt:lpstr>Chemicals America</vt:lpstr>
      <vt:lpstr>Chemicals Eurasia</vt:lpstr>
      <vt:lpstr>Corp</vt:lpstr>
      <vt:lpstr>Interco</vt:lpstr>
      <vt:lpstr>Assumptions!Print_Area</vt:lpstr>
      <vt:lpstr>Chem!Print_Area</vt:lpstr>
      <vt:lpstr>'Chemicals Africa'!Print_Area</vt:lpstr>
      <vt:lpstr>'Chemicals America'!Print_Area</vt:lpstr>
      <vt:lpstr>'Chemicals Eurasia'!Print_Area</vt:lpstr>
      <vt:lpstr>Corp!Print_Area</vt:lpstr>
      <vt:lpstr>Depr!Print_Area</vt:lpstr>
      <vt:lpstr>Disclaimer!Print_Area</vt:lpstr>
      <vt:lpstr>Financials!Print_Area</vt:lpstr>
      <vt:lpstr>Fuels!Print_Area</vt:lpstr>
      <vt:lpstr>Gas!Print_Area</vt:lpstr>
      <vt:lpstr>Interco!Print_Area</vt:lpstr>
      <vt:lpstr>Legend!Print_Area</vt:lpstr>
      <vt:lpstr>Mining!Print_Area</vt:lpstr>
    </vt:vector>
  </TitlesOfParts>
  <Company>Sasol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Rawlinson, Johann (J)</dc:creator>
  <cp:lastModifiedBy>Sydow, Tiffany (TS)</cp:lastModifiedBy>
  <cp:lastPrinted>2014-11-12T09:26:12Z</cp:lastPrinted>
  <dcterms:created xsi:type="dcterms:W3CDTF">2014-10-09T13:11:41Z</dcterms:created>
  <dcterms:modified xsi:type="dcterms:W3CDTF">2022-02-02T08:41:29Z</dcterms:modified>
</cp:coreProperties>
</file>